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lerbrj\Desktop\"/>
    </mc:Choice>
  </mc:AlternateContent>
  <bookViews>
    <workbookView xWindow="0" yWindow="0" windowWidth="12770" windowHeight="4410"/>
  </bookViews>
  <sheets>
    <sheet name="L'annexe B, Base de paiemen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0" i="1" l="1"/>
  <c r="F639" i="1" l="1"/>
  <c r="F424" i="1" l="1"/>
  <c r="F335" i="1"/>
  <c r="F162" i="1" l="1"/>
  <c r="F164" i="1"/>
  <c r="F166" i="1"/>
  <c r="F168" i="1"/>
  <c r="F160" i="1"/>
  <c r="F145" i="1"/>
  <c r="F147" i="1"/>
  <c r="F149" i="1"/>
  <c r="F151" i="1"/>
  <c r="F143" i="1"/>
  <c r="F692" i="1" l="1"/>
  <c r="F691" i="1"/>
  <c r="F690" i="1"/>
  <c r="F689" i="1"/>
  <c r="F688" i="1"/>
  <c r="F687" i="1"/>
  <c r="F686" i="1"/>
  <c r="F685" i="1"/>
  <c r="F684" i="1"/>
  <c r="F683" i="1"/>
  <c r="F682" i="1"/>
  <c r="F681" i="1"/>
  <c r="F680" i="1"/>
  <c r="F679" i="1"/>
  <c r="F678" i="1"/>
  <c r="F677" i="1"/>
  <c r="F676" i="1"/>
  <c r="F675" i="1"/>
  <c r="F674" i="1"/>
  <c r="F673" i="1"/>
  <c r="F672" i="1"/>
  <c r="F671" i="1"/>
  <c r="F670" i="1"/>
  <c r="F668" i="1"/>
  <c r="F667" i="1"/>
  <c r="F666" i="1"/>
  <c r="F665" i="1"/>
  <c r="F663" i="1"/>
  <c r="F662" i="1"/>
  <c r="F661" i="1"/>
  <c r="F660" i="1"/>
  <c r="F659" i="1"/>
  <c r="F658" i="1"/>
  <c r="F657" i="1"/>
  <c r="F656" i="1"/>
  <c r="F655" i="1"/>
  <c r="F654" i="1"/>
  <c r="F653" i="1"/>
  <c r="F652" i="1"/>
  <c r="F651" i="1"/>
  <c r="F650" i="1"/>
  <c r="F649" i="1"/>
  <c r="F648" i="1"/>
  <c r="F647" i="1"/>
  <c r="F664" i="1"/>
  <c r="F646" i="1"/>
  <c r="F644" i="1"/>
  <c r="F643" i="1"/>
  <c r="F642" i="1"/>
  <c r="F641" i="1"/>
  <c r="F640" i="1"/>
  <c r="F638" i="1"/>
  <c r="F637" i="1"/>
  <c r="F636" i="1"/>
  <c r="F635" i="1"/>
  <c r="F634" i="1"/>
  <c r="F633" i="1"/>
  <c r="F632" i="1"/>
  <c r="F631" i="1"/>
  <c r="F630" i="1"/>
  <c r="F629" i="1"/>
  <c r="F628" i="1"/>
  <c r="F627" i="1"/>
  <c r="F626" i="1"/>
  <c r="F625" i="1"/>
  <c r="F624" i="1"/>
  <c r="F623" i="1"/>
  <c r="F622" i="1"/>
  <c r="F694" i="1" s="1"/>
  <c r="F580" i="1"/>
  <c r="F579" i="1"/>
  <c r="F578" i="1"/>
  <c r="F577" i="1"/>
  <c r="F576" i="1"/>
  <c r="F575" i="1"/>
  <c r="F574" i="1"/>
  <c r="F573" i="1"/>
  <c r="F572" i="1"/>
  <c r="F571" i="1"/>
  <c r="F570" i="1"/>
  <c r="F569" i="1"/>
  <c r="F568" i="1"/>
  <c r="F567" i="1"/>
  <c r="F566" i="1"/>
  <c r="F565" i="1"/>
  <c r="F564" i="1"/>
  <c r="F563" i="1"/>
  <c r="F562" i="1"/>
  <c r="F561" i="1"/>
  <c r="F559" i="1"/>
  <c r="F558" i="1"/>
  <c r="F560" i="1"/>
  <c r="F557" i="1"/>
  <c r="F555" i="1"/>
  <c r="F554" i="1"/>
  <c r="F553" i="1"/>
  <c r="F552" i="1"/>
  <c r="F551" i="1"/>
  <c r="F550" i="1"/>
  <c r="F549" i="1"/>
  <c r="F548" i="1"/>
  <c r="F547" i="1"/>
  <c r="F546" i="1"/>
  <c r="F545" i="1"/>
  <c r="F544" i="1"/>
  <c r="F543" i="1"/>
  <c r="F542" i="1"/>
  <c r="F541" i="1"/>
  <c r="F540" i="1"/>
  <c r="F539" i="1"/>
  <c r="F538" i="1"/>
  <c r="F537" i="1"/>
  <c r="F536" i="1"/>
  <c r="F535" i="1"/>
  <c r="F534" i="1"/>
  <c r="F533" i="1"/>
  <c r="F532" i="1"/>
  <c r="F530" i="1"/>
  <c r="F529" i="1"/>
  <c r="F528" i="1"/>
  <c r="F527" i="1"/>
  <c r="F526" i="1"/>
  <c r="F525" i="1"/>
  <c r="F524" i="1"/>
  <c r="F523" i="1"/>
  <c r="F522" i="1"/>
  <c r="F521" i="1"/>
  <c r="F520" i="1"/>
  <c r="F519" i="1"/>
  <c r="F518" i="1"/>
  <c r="F517" i="1"/>
  <c r="F516" i="1"/>
  <c r="F515" i="1"/>
  <c r="F514" i="1"/>
  <c r="F513" i="1"/>
  <c r="F512" i="1"/>
  <c r="F511" i="1"/>
  <c r="F510" i="1"/>
  <c r="F509" i="1"/>
  <c r="F508" i="1"/>
  <c r="F507" i="1"/>
  <c r="F582" i="1" s="1"/>
  <c r="F487"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89" i="1" s="1"/>
  <c r="F450" i="1"/>
  <c r="F432" i="1"/>
  <c r="F431" i="1"/>
  <c r="F430" i="1"/>
  <c r="F428" i="1"/>
  <c r="F427" i="1"/>
  <c r="F426" i="1"/>
  <c r="F423" i="1"/>
  <c r="F422" i="1"/>
  <c r="F434" i="1" s="1"/>
  <c r="F303" i="1"/>
  <c r="F302" i="1"/>
  <c r="F301" i="1"/>
  <c r="F299" i="1"/>
  <c r="F298" i="1"/>
  <c r="F297" i="1"/>
  <c r="F295" i="1"/>
  <c r="F294" i="1"/>
  <c r="F293" i="1"/>
  <c r="F305" i="1" s="1"/>
  <c r="F723" i="1" s="1"/>
  <c r="F275" i="1"/>
  <c r="F273" i="1"/>
  <c r="F272" i="1"/>
  <c r="F271" i="1"/>
  <c r="F270" i="1"/>
  <c r="F269" i="1"/>
  <c r="F268" i="1"/>
  <c r="F267" i="1"/>
  <c r="F266" i="1"/>
  <c r="F265" i="1"/>
  <c r="F264" i="1"/>
  <c r="F263" i="1"/>
  <c r="F261" i="1"/>
  <c r="F260" i="1"/>
  <c r="F259" i="1"/>
  <c r="F258" i="1"/>
  <c r="F257" i="1"/>
  <c r="F256" i="1"/>
  <c r="F255" i="1"/>
  <c r="F253" i="1"/>
  <c r="F254" i="1"/>
  <c r="F262" i="1"/>
  <c r="F274" i="1"/>
  <c r="F252" i="1"/>
  <c r="F250" i="1"/>
  <c r="F249" i="1"/>
  <c r="F248" i="1"/>
  <c r="F247" i="1"/>
  <c r="F246" i="1"/>
  <c r="F245" i="1"/>
  <c r="F244" i="1"/>
  <c r="F243" i="1"/>
  <c r="F242" i="1"/>
  <c r="F241" i="1"/>
  <c r="F240" i="1"/>
  <c r="F239" i="1"/>
  <c r="F238" i="1"/>
  <c r="F237" i="1"/>
  <c r="F236" i="1"/>
  <c r="F235" i="1"/>
  <c r="F234" i="1"/>
  <c r="F233" i="1"/>
  <c r="F232" i="1"/>
  <c r="F231" i="1"/>
  <c r="F230" i="1"/>
  <c r="F229" i="1"/>
  <c r="F228" i="1"/>
  <c r="F227" i="1"/>
  <c r="F183" i="1"/>
  <c r="F181" i="1"/>
  <c r="F186" i="1" s="1"/>
  <c r="F100" i="1"/>
  <c r="F97" i="1"/>
  <c r="F95" i="1"/>
  <c r="F94" i="1"/>
  <c r="F225" i="1"/>
  <c r="F224" i="1"/>
  <c r="F223" i="1"/>
  <c r="F222" i="1"/>
  <c r="F221" i="1"/>
  <c r="F220" i="1"/>
  <c r="F219" i="1"/>
  <c r="F218" i="1"/>
  <c r="F217" i="1"/>
  <c r="F216" i="1"/>
  <c r="F215" i="1"/>
  <c r="F214" i="1"/>
  <c r="F213" i="1"/>
  <c r="F212" i="1"/>
  <c r="F211" i="1"/>
  <c r="F210" i="1"/>
  <c r="F209" i="1"/>
  <c r="F208" i="1"/>
  <c r="F207" i="1"/>
  <c r="F206" i="1"/>
  <c r="F205" i="1"/>
  <c r="F204" i="1"/>
  <c r="F203" i="1"/>
  <c r="F202" i="1"/>
  <c r="F277" i="1" s="1"/>
  <c r="F158" i="1"/>
  <c r="F156" i="1"/>
  <c r="F154" i="1"/>
  <c r="F141" i="1"/>
  <c r="F139" i="1"/>
  <c r="F137" i="1"/>
  <c r="F134" i="1"/>
  <c r="F132" i="1"/>
  <c r="F130" i="1"/>
  <c r="F128" i="1"/>
  <c r="F126" i="1"/>
  <c r="F124" i="1"/>
  <c r="F122" i="1"/>
  <c r="F120" i="1"/>
  <c r="F103" i="1" l="1"/>
  <c r="F171" i="1"/>
  <c r="F607" i="1"/>
  <c r="F606" i="1"/>
  <c r="F605" i="1"/>
  <c r="F603" i="1"/>
  <c r="F602" i="1"/>
  <c r="F601" i="1"/>
  <c r="F599" i="1"/>
  <c r="F598" i="1"/>
  <c r="F597" i="1"/>
  <c r="F321" i="1"/>
  <c r="F101" i="1"/>
  <c r="F98" i="1"/>
  <c r="F75" i="1"/>
  <c r="F74" i="1"/>
  <c r="F72" i="1"/>
  <c r="F71" i="1"/>
  <c r="F69" i="1"/>
  <c r="F68" i="1"/>
  <c r="F609" i="1" l="1"/>
  <c r="F77" i="1"/>
</calcChain>
</file>

<file path=xl/sharedStrings.xml><?xml version="1.0" encoding="utf-8"?>
<sst xmlns="http://schemas.openxmlformats.org/spreadsheetml/2006/main" count="1272" uniqueCount="551">
  <si>
    <t>* Remarque : Les points en italiques sont présents aux seules fins d’évaluation et seront retirés du texte dès l’attribution du contrat.</t>
  </si>
  <si>
    <t>A</t>
  </si>
  <si>
    <t>B</t>
  </si>
  <si>
    <t>C</t>
  </si>
  <si>
    <r>
      <t>N</t>
    </r>
    <r>
      <rPr>
        <b/>
        <vertAlign val="superscript"/>
        <sz val="10"/>
        <color theme="1"/>
        <rFont val="Arial"/>
        <family val="2"/>
      </rPr>
      <t>o</t>
    </r>
  </si>
  <si>
    <t>Description</t>
  </si>
  <si>
    <t>Quantité estimative mensuelle</t>
  </si>
  <si>
    <t>Prix mensuel ferme</t>
  </si>
  <si>
    <t>Prix mensuel calculé (A x B)</t>
  </si>
  <si>
    <t>Gestionnaire de programme</t>
  </si>
  <si>
    <t>1 ETP</t>
  </si>
  <si>
    <t>Ressource supplémentaire</t>
  </si>
  <si>
    <t>Tarif d’expédition ferme</t>
  </si>
  <si>
    <t>Services de coordination de douanes conformément à l’annexe A, 4.1.1</t>
  </si>
  <si>
    <t>Services de dédouanement conformément à l’annexe A, 4.1.2</t>
  </si>
  <si>
    <t xml:space="preserve">*Le soumissionnaire doit inclure son supplément de carburant dans le tarif par caisse lorsqu’il remplit cette catégorie. Le supplément de carburant utilisé doit être pour le jeudi 25 juin 2020. Veuillez noter que l’intention est d’évaluer les prix de la catégorie de façon à tenir compte du supplément de carburant du soumissionnaire. Les soumissionnaires sont priés de fournir séparément leurs tarifs par caisse, à l’exclusion des suppléments de carburant, et leur description de supplément de carburant. </t>
  </si>
  <si>
    <t>Taux ferme par caisse (y compris le supplément de carburant au 25 juin 2020)</t>
  </si>
  <si>
    <t>De l’aéroport de Toronto à l’entrepôt de la RGT</t>
  </si>
  <si>
    <t>1 800 palettes</t>
  </si>
  <si>
    <t>De l’aéroport de Hamilton à l’entrepôt de la RGT</t>
  </si>
  <si>
    <t>2 palettes</t>
  </si>
  <si>
    <t>1.10</t>
  </si>
  <si>
    <t>68 palettes</t>
  </si>
  <si>
    <t>80 palettes</t>
  </si>
  <si>
    <t>2.10</t>
  </si>
  <si>
    <t>3.10</t>
  </si>
  <si>
    <r>
      <t>Taux ferme par caisse (</t>
    </r>
    <r>
      <rPr>
        <b/>
        <i/>
        <sz val="10"/>
        <color theme="1"/>
        <rFont val="Arial"/>
        <family val="2"/>
      </rPr>
      <t>à l’exclusion du supplément de carburant</t>
    </r>
    <r>
      <rPr>
        <b/>
        <sz val="10"/>
        <color theme="1"/>
        <rFont val="Arial"/>
        <family val="2"/>
      </rPr>
      <t>)</t>
    </r>
  </si>
  <si>
    <t>D</t>
  </si>
  <si>
    <t xml:space="preserve">Chargements partiels/
complets </t>
  </si>
  <si>
    <t>Tarif ferme par palette (y compris le supplément de carburant au 25 juin 2020)</t>
  </si>
  <si>
    <r>
      <rPr>
        <b/>
        <sz val="10"/>
        <color theme="1"/>
        <rFont val="Arial"/>
        <family val="2"/>
      </rPr>
      <t>Tarif ferme par palette (</t>
    </r>
    <r>
      <rPr>
        <b/>
        <i/>
        <sz val="10"/>
        <color theme="1"/>
        <rFont val="Arial"/>
        <family val="2"/>
      </rPr>
      <t>à l’exclusion du supplément de carburant</t>
    </r>
    <r>
      <rPr>
        <b/>
        <sz val="10"/>
        <color theme="1"/>
        <rFont val="Arial"/>
        <family val="2"/>
      </rPr>
      <t>)</t>
    </r>
  </si>
  <si>
    <t>Chargement partiel</t>
  </si>
  <si>
    <t>Chargement complet</t>
  </si>
  <si>
    <t>96 palettes</t>
  </si>
  <si>
    <t>7 palettes</t>
  </si>
  <si>
    <t>97 palettes</t>
  </si>
  <si>
    <t>24 palettes</t>
  </si>
  <si>
    <t>1.11</t>
  </si>
  <si>
    <t>De l’entrepôt de la RGT à Langley (Colombie-Britannique)</t>
  </si>
  <si>
    <t>1.12</t>
  </si>
  <si>
    <t>De l’entrepôt de la RGT à Edmonton (Alberta)</t>
  </si>
  <si>
    <t>De l’entrepôt de la RGT à Saskatoon (Saskatchewan)</t>
  </si>
  <si>
    <t>De l’entrepôt de la RGT à Winnipeg (Manitoba)</t>
  </si>
  <si>
    <t>De l’entrepôt de la RGT à Brampton (Ontario)</t>
  </si>
  <si>
    <t>De l’entrepôt de la RGT à Boucherville (Québec)</t>
  </si>
  <si>
    <t>De l’entrepôt de la RGT à Moncton (Nouveau-Brunswick)</t>
  </si>
  <si>
    <t>De l’entrepôt de la RGT à Dartmouth (Nouvelle-Écosse)</t>
  </si>
  <si>
    <t>De l’entrepôt de la RGT à Charlottetown (Île-du-Prince-Édouard)</t>
  </si>
  <si>
    <t>De l’entrepôt de la RGT à Saint John’s (Terre-Neuve-et-Labrador)</t>
  </si>
  <si>
    <t>De l’entrepôt de la RGT à Whitehorse (Yukon)</t>
  </si>
  <si>
    <t>1 palette</t>
  </si>
  <si>
    <t>De l’entrepôt de la RGT à Yellowknife (Territoires du Nord-Ouest)</t>
  </si>
  <si>
    <t>5 palettes</t>
  </si>
  <si>
    <t>8 palettes</t>
  </si>
  <si>
    <t>35 palettes</t>
  </si>
  <si>
    <t>29 palettes</t>
  </si>
  <si>
    <t>2.11</t>
  </si>
  <si>
    <t>2.12</t>
  </si>
  <si>
    <t>120 palettes</t>
  </si>
  <si>
    <t>3.11</t>
  </si>
  <si>
    <t>3.12</t>
  </si>
  <si>
    <t>Le tarif facturé correspondra aux frais de livraison locaux plus les frais de fret aérien assujettis à un pourcentage de marge de :</t>
  </si>
  <si>
    <t xml:space="preserve">*Les soumissionnaires doivent inclure leur supplément de carburant dans le tarif par caisse lorsqu’ils remplissent cette catégorie. Le supplément de carburant utilisé doit être pour le jeudi 25 juin 2020. Veuillez noter que l’intention est d’évaluer les prix de la catégorie de façon à tenir compte du supplément de carburant du soumissionnaire. Les soumissionnaires sont priés de fournir séparément leurs tarifs par caisse, à l’exclusion des suppléments de carburant, et leur description de supplément de carburant. </t>
  </si>
  <si>
    <t>De l’entrepôt de la RGT à Ottawa (Ontario)</t>
  </si>
  <si>
    <t>Colis</t>
  </si>
  <si>
    <t>Les envois urgents sont tarifés à _________ % du taux standard de chargement partiel.</t>
  </si>
  <si>
    <t>Exemple : de l’entrepôt de la RGT à Moncton (Nouveau-Brunswick). (Le chargement partiel urgent est le tarif par palette de l’entrepreneur pour l’itinéraire de transport + des frais de service urgent + supplément de carburant.)</t>
  </si>
  <si>
    <t>Pourcentage de frais supplémentaires pour service urgent :</t>
  </si>
  <si>
    <t>Tarif ferme par palette</t>
  </si>
  <si>
    <t>Espace d’entreposage dans l’entrepôt de la RGT</t>
  </si>
  <si>
    <t>Chargements partiels/
complets</t>
  </si>
  <si>
    <t>3 palettes</t>
  </si>
  <si>
    <t>Génération d’UGS (UGS/mois)</t>
  </si>
  <si>
    <t>1.1.A</t>
  </si>
  <si>
    <t>2.1.A</t>
  </si>
  <si>
    <t>3.1.A</t>
  </si>
  <si>
    <t>1. APERÇU</t>
  </si>
  <si>
    <t>2. SERVICES DE GESTION DES PROGRAMMES</t>
  </si>
  <si>
    <t>3. CAPACITÉS EN MATIÈRE DE SYSTÈMES</t>
  </si>
  <si>
    <t>4. DOUANES ET TRANSPORTS</t>
  </si>
  <si>
    <t>2.0</t>
  </si>
  <si>
    <t>1.0</t>
  </si>
  <si>
    <t>3.0</t>
  </si>
  <si>
    <t>Voir l’annexe A, Énoncé des travaux — 3. Capacités en matière de systèmes</t>
  </si>
  <si>
    <t>105 envois</t>
  </si>
  <si>
    <t>5 envois</t>
  </si>
  <si>
    <t>20 envois</t>
  </si>
  <si>
    <t>Tarif horaire ferme</t>
  </si>
  <si>
    <t>Technicien en contrôle de la qualité dans l’entrepôt de la RGT</t>
  </si>
  <si>
    <t>800 palettes</t>
  </si>
  <si>
    <t>1.2.A</t>
  </si>
  <si>
    <t>1.5.A</t>
  </si>
  <si>
    <t>1.6.A</t>
  </si>
  <si>
    <t>1.7.A</t>
  </si>
  <si>
    <t>1.8.A</t>
  </si>
  <si>
    <t>1.9.A</t>
  </si>
  <si>
    <t>2.2.A</t>
  </si>
  <si>
    <t>2.5.A</t>
  </si>
  <si>
    <t>2.6.A</t>
  </si>
  <si>
    <t>2.7.A</t>
  </si>
  <si>
    <t>2.8.A</t>
  </si>
  <si>
    <t>2.9.A</t>
  </si>
  <si>
    <t>3.2.A</t>
  </si>
  <si>
    <t>3.5.A</t>
  </si>
  <si>
    <t>3.6.A</t>
  </si>
  <si>
    <t>3.7.A</t>
  </si>
  <si>
    <t>3.8.A</t>
  </si>
  <si>
    <t>3.9.A</t>
  </si>
  <si>
    <t>380 caisses</t>
  </si>
  <si>
    <t>Taux ferme par caisse, UGS, étiquette ou palette</t>
  </si>
  <si>
    <t>1.3.A</t>
  </si>
  <si>
    <t>1.4.A</t>
  </si>
  <si>
    <t>2.3.A</t>
  </si>
  <si>
    <t>2.4.A</t>
  </si>
  <si>
    <t>3.3.A</t>
  </si>
  <si>
    <t>3.4.A</t>
  </si>
  <si>
    <t>22 étiquettes</t>
  </si>
  <si>
    <t>30 étiquettes</t>
  </si>
  <si>
    <t>Aux fins de l’évaluation, une quantité estimée à 27 000,00 $ en frais de transport aérien et frais de livraison locaux de l’entrepôt de la RGT à l’aéroport de Hamilton est utilisée.</t>
  </si>
  <si>
    <t xml:space="preserve">Le coût total évalué pour la catégorie 4.3.2 est la catégorie 4.2 – 1.2 + 27 000 $ + (27 000 $ x % de marge) = </t>
  </si>
  <si>
    <t>5.1 Exigences générales</t>
  </si>
  <si>
    <t>Palettisation : Processus dans lequel la marchandise est placée sur des palettes.</t>
  </si>
  <si>
    <t>Rangement : Processus dans lequel le matériel est transporté du quai à l’aire d’entreposage.</t>
  </si>
  <si>
    <t>Traduction pour les articles reçus dans l’entrepôt de la RGT</t>
  </si>
  <si>
    <t>*Le dénombrement des stocks doit être effectué une fois que les estimations annuelles fournies sont fondées sur le nombre moyen de palettes en main par mois pour donner un ordre de grandeur, pour estimer le nombre de palettes qui doivent être comptées à un moment précis.</t>
  </si>
  <si>
    <t>Lexique</t>
  </si>
  <si>
    <t>Ramassage : Processus dans lequel des cas individuels sont ramassés à l’entrepôt pour satisfaire à la déclaration d’expédition.</t>
  </si>
  <si>
    <t>Emballage : Processus dans lequel les articles individuels ont été ramassés et réemballés pour distribution.</t>
  </si>
  <si>
    <t>COÛT ESTIMATIF TOTAL :</t>
  </si>
  <si>
    <t>La base de paiement établit la structure de l’entente de prix et définit comment l’entrepreneur sera rémunéré. Aucune rémunération supplémentaire ne sera versée pour les articles qui ne figurent pas dans la base de paiement de l’annexe B.</t>
  </si>
  <si>
    <t>*Les soumissionnaires doivent tenir compte de toutes leurs obligations en vertu de l’énoncé des travaux de l’annexe A lorsqu’ils fournissent des prix dans la base de paiement de l’annexe B. Ils sont tenus d’intégrer dans leurs calculs de prix les articles à l’annexe A, Énoncé des travaux, dont le prix n’est pas explicitement indiqué dans la base de paiement de l’annexe B.</t>
  </si>
  <si>
    <t>1.1 Catégories des prix unitaires fermes</t>
  </si>
  <si>
    <t xml:space="preserve">Les catégories des prix unitaires fermes de la base de paiement permettent de payer l’entrepreneur pour les unités réelles achetées dans l’exécution des travaux. Les unités peuvent être représentées en ETP (employés à temps plein), envois, palettes, caisses, colis, étiquettes, UGS, unités ou heures de travail. </t>
  </si>
  <si>
    <t>*Les soumissionnaires doivent fournir des tarifs fixes pour tous les articles à prix unitaire ferme, comprenant une estimation des coûts directs, des coûts indirects et des profits.</t>
  </si>
  <si>
    <t>1.2 Catégorie des coûts remboursables</t>
  </si>
  <si>
    <t>La catégorie des coûts remboursables de la base de paiement prévoit le remboursement à l’entrepreneur des coûts admissibles engagés dans l’exécution du contrat.</t>
  </si>
  <si>
    <t>* Remarque : Toutes les quantités estimatives représentent la meilleure estimation des moyennes du Canada; elles ne sont établies qu’à des fins d’évaluation et ne représentent pas un engagement de la part du Canada. Les quantités réelles peuvent être inférieures ou supérieures à celles qui figurent aux présentes. L’entrepreneur sera payé aux tarifs fermes figurant dans la soumission, peu importe les quantités réelles.</t>
  </si>
  <si>
    <t>Le Canada ne paiera pas l’entrepreneur directement pour ses systèmes. Les soumissionnaires doivent inclure tous les coûts directs ou indirects associés à cette section dans les volets évalués de la base de paiement de l’annexe B.</t>
  </si>
  <si>
    <t>*Les soumissionnaires doivent fournir les prix par caisse seulement. Les quantités de palettes sont fournies à titre d’information seulement. Les caisses pèsent en moyenne 6,5 kg chacune. Veuillez noter que 6,5 kg représente la meilleure estimation de la moyenne du Canada; certaines caisses peuvent peser plus et d’autres moins. L’entrepreneur sera payé à son tarif par caisse figurant dans cette catégorie, peu importe le poids réel.</t>
  </si>
  <si>
    <t>*Les palettes pèsent en moyenne 350 kg chacune. Veuillez noter que 350 kg représente la meilleure estimation de la moyenne du Canada; certaines palettes peuvent peser plus et d’autres moins. L’entrepreneur sera payé à son tarif par palette figurant dans cette catégorie, peu importe le poids réel.</t>
  </si>
  <si>
    <t>*Les colis pèsent en moyenne 5 kg chacune. Veuillez noter que 5 kg représente la meilleure estimation de la moyenne du Canada; certaines caisses peuvent peser plus et d’autres moins. L’entrepreneur sera payé à son tarif par caisse figurant dans cette catégorie, peu importe le poids réel.</t>
  </si>
  <si>
    <t>À des fins d’évaluation, on a recours à une estimation mensuelle de 30 000 $ de palettes envoyées d’urgence.</t>
  </si>
  <si>
    <t>Coût total évalué pour la catégorie 4.3.3 (somme de 30 000 $ et de la majoration du 30 000 $) :</t>
  </si>
  <si>
    <t>Tous les prix des catégories sous 5. Opérations d’entreposage sont assujettis à 5.1 Exigences générales de l’Énoncé des travaux de l’annexe A.</t>
  </si>
  <si>
    <t>L’entrepreneur sera payé selon les prix unitaires fermes des catégories 5.2, 5.2.1, 5.4, 5.5, et 5.6.</t>
  </si>
  <si>
    <t>Réception : Processus dans lequel les marchandises sont transférées à l’entrepôt et sont enregistrées.</t>
  </si>
  <si>
    <r>
      <rPr>
        <b/>
        <sz val="10"/>
        <color theme="1"/>
        <rFont val="Arial"/>
        <family val="2"/>
      </rPr>
      <t>Tarif ferme par caisse/palette (</t>
    </r>
    <r>
      <rPr>
        <b/>
        <i/>
        <sz val="10"/>
        <color theme="1"/>
        <rFont val="Arial"/>
        <family val="2"/>
      </rPr>
      <t>à l’exception du supplément de carburant</t>
    </r>
    <r>
      <rPr>
        <b/>
        <sz val="10"/>
        <color theme="1"/>
        <rFont val="Arial"/>
        <family val="2"/>
      </rPr>
      <t>)</t>
    </r>
  </si>
  <si>
    <t>9 colis</t>
  </si>
  <si>
    <t>1.8</t>
  </si>
  <si>
    <t>2.8</t>
  </si>
  <si>
    <t>3.8</t>
  </si>
  <si>
    <t>EXW (Toronto, Ontario) à l’entrepôt de la RGT</t>
  </si>
  <si>
    <t>FCA (Toronto, Ontario) à l’entrepôt de la RGT</t>
  </si>
  <si>
    <t>FCA (Scarborough, Ontario) à l’entrepôt de la RGT</t>
  </si>
  <si>
    <t>FCA (North York, Ontario) à l’entrepôt de la RGT</t>
  </si>
  <si>
    <t xml:space="preserve">Quantité estimative </t>
  </si>
  <si>
    <t>Prix mensuel calculé 
(A x B)</t>
  </si>
  <si>
    <t>*Remarque : Bien que le supplément de carburant s’appliquera aux catégories 4.2, 4.2.1, 4.3, 4.3.1, 4.3.2, 4.3.3, 4.3.4 et 5.2.1 pendant la durée du contrat, il ne sera pas utilisé à des fins d’évaluation. Toutefois, l’explication du supplément de carburant, de concert avec la colonne D pour les catégories  4.2, 4.2.1, 4.3, 4.3.1, 4.3.2, 4.3.3, 4.3.4 et 5.2.1, doit correspondre aux prix présentés à la colonne B. Les soumissionnaires doivent fournir et décrire leur supplément de carburant dans la case ci-dessous.</t>
  </si>
  <si>
    <t>Pour les travaux décrits à la catégorie 4.3.2 l’entrepreneur sera payé pour les coûts qu’il a raisonnablement et convenablement engagés dans l’exécution des travaux, conformément à la base de paiement à l’annexe B.</t>
  </si>
  <si>
    <t>1.3</t>
  </si>
  <si>
    <t>1.4</t>
  </si>
  <si>
    <t>1.5</t>
  </si>
  <si>
    <t>1.6</t>
  </si>
  <si>
    <t>1.7</t>
  </si>
  <si>
    <t>1.9</t>
  </si>
  <si>
    <r>
      <t>Tarif ferme par palette (</t>
    </r>
    <r>
      <rPr>
        <b/>
        <i/>
        <sz val="10"/>
        <color theme="1"/>
        <rFont val="Arial"/>
        <family val="2"/>
      </rPr>
      <t>à l’exclusion du supplément de carburant</t>
    </r>
    <r>
      <rPr>
        <b/>
        <sz val="10"/>
        <color theme="1"/>
        <rFont val="Arial"/>
        <family val="2"/>
      </rPr>
      <t>)</t>
    </r>
  </si>
  <si>
    <r>
      <t xml:space="preserve"> </t>
    </r>
    <r>
      <rPr>
        <b/>
        <sz val="10"/>
        <color theme="1"/>
        <rFont val="Arial"/>
        <family val="2"/>
      </rPr>
      <t>Type</t>
    </r>
  </si>
  <si>
    <t>Tarif ferme par caisse, unités ou par étiquette</t>
  </si>
  <si>
    <t>1 envoi</t>
  </si>
  <si>
    <t>Du port de Vancouver à l’entrepôt de la côte ouest</t>
  </si>
  <si>
    <t>De l’entrepôt de la côte ouest à Langley (Colombie-Britannique)</t>
  </si>
  <si>
    <t>De l’entrepôt de la côte ouest à Edmonton (Alberta)</t>
  </si>
  <si>
    <t>De l’entrepôt de la côte ouest à Saskatoon (Saskatchewan)</t>
  </si>
  <si>
    <t>De l’entrepôt de la côte ouest à Whitehorse (Yukon)</t>
  </si>
  <si>
    <t>De l’entrepôt de la côte ouest à Yellowknife (Territoires du Nord-Ouest)</t>
  </si>
  <si>
    <t>De l’entrepôt de la côte ouest à Ottawa (Ontario)</t>
  </si>
  <si>
    <t>De l’aéroport de Vancouver à l’entrepôt de la côte ouest</t>
  </si>
  <si>
    <t>Espace d’entreposage dans l’entrepôt de la côte ouest</t>
  </si>
  <si>
    <t>De l’entrepôt de la côte ouest à l’entrepôt de la RGT</t>
  </si>
  <si>
    <t>De l’entrepôt de la RGT à l’entrepôt de la côte ouest</t>
  </si>
  <si>
    <t>Transbordement (dans l’entrepôt de la côte ouest)</t>
  </si>
  <si>
    <t>Traduction pour les articles reçus dans l’entrepôt de la côte ouest</t>
  </si>
  <si>
    <t>Technicien en contrôle de la qualité dans l’entrepôt de la côte ouest</t>
  </si>
  <si>
    <t>Expédition des articles transbordés dans les entrepôts de la côte ouest</t>
  </si>
  <si>
    <t>*Les soumissionnaires doivent remplir les colonnes A et B en fonction du nombre d’heures par mois qu’ils prévoient devoir faire pour répondre au besoin en fonction des quantités estimatives mensuelles estimées à la colonne D, selon la structure de leur organisation.</t>
  </si>
  <si>
    <t>Estimation du soumissionnaire pour les heures nécessaires afin de répondre aux besoins mensuels estimés à la colonne D</t>
  </si>
  <si>
    <t>Les prix de fourniture et de livraison des articles conformément à l’annexe A doivent être fermes et en dollars canadiens. Les droits de douane sont exclus et les taxes applicables sont en sus.</t>
  </si>
  <si>
    <t>* Remarque : Les soumissionnaires devraient remplir toutes les cases bleues :</t>
  </si>
  <si>
    <t>Le Canada ne paiera pas l’entrepreneur pour tout changement à la conception, toute modification ou interprétation des travaux, à moins que ces changements à la conception, ces modifications ou ces interprétations n’aient été approuvés par écrit par l’autorité contractante avant d’être intégrés aux travaux.</t>
  </si>
  <si>
    <t>La catégorie qui comporte un volet « coûts remboursables » est la catégorie 4.3.2 : Services de fret aérien; le coût du service de fret aérien est remboursable et assujetti à une majoration.</t>
  </si>
  <si>
    <t xml:space="preserve">Les coûts du fret aérien doivent être calculés conformément aux Principes des coûts contractuels 1031-2. Veuillez consulter la clause du Guide des CCUA 1031-2 (2012-07-16), Principes des coûts contractuels : https://achatsetventes.gc.ca/politiques-et-lignes-directrices/guide-des-clauses-et-conditions-uniformisees-d-achat/3/1031-2/6 </t>
  </si>
  <si>
    <t>Catégorie 2 : Services de gestion des programmes</t>
  </si>
  <si>
    <t>Services de gestion des programmes conformément à l’annexe A, Énoncé des travaux — 2. Gestion des programmes. Cette catégorie englobe tous les services à fournir sous 2. Gestion des programmes, incluant 2.1 Ressources de gestion des programmes, 2.2 Rapports, et 2.3 Documents. Des ressources supplémentaires peuvent être nécessaires, le prix mensuel ferme peut être calculé au prorata de la partie du mois travaillée.</t>
  </si>
  <si>
    <t>Colonnes :</t>
  </si>
  <si>
    <t>1,0</t>
  </si>
  <si>
    <t>Année ferme 1 — de l’attribution du contrat au 31 juillet 2021</t>
  </si>
  <si>
    <t>2,0</t>
  </si>
  <si>
    <t>Année ferme 2 — du 1er août 2021 au 31 juillet 2022</t>
  </si>
  <si>
    <t>3,0</t>
  </si>
  <si>
    <t>Année d’option 3 — du 1er août 2022 au 31 juillet 2023</t>
  </si>
  <si>
    <t>Catégorie 4.1 : Services douaniers</t>
  </si>
  <si>
    <t>Services douaniers conformément à l’annexe A, Énoncé des travaux — 4.1 Douanes.</t>
  </si>
  <si>
    <t>Le coût total évalué pour la catégorie 4.1 (somme des prix mensuels calculés à la colonne C pour tous les articles d’exécution des années 1 à 3) :</t>
  </si>
  <si>
    <t xml:space="preserve">Catégorie 4.2 : Services de transport entrant </t>
  </si>
  <si>
    <t>Le coût total évalué pour la catégorie 4.2 (somme des prix mensuels calculés à la colonne C pour tous les articles d’exécution des années 1 à 3) :</t>
  </si>
  <si>
    <t>Installation actuelle (RGT) à l’entrepôt de la RGT (volume à déplacer pendant les premiers mois d’activités)</t>
  </si>
  <si>
    <t>Le coût total évalué pour la catégorie 4.2.1 (somme des prix calculés à la colonne C pour tous les articles d’exécution de l’année 1)</t>
  </si>
  <si>
    <t>Services de transport de départ conformément à l’annexe A, Énoncé des travaux — 4.3 Transport de départ (services de distribution)</t>
  </si>
  <si>
    <t>1,10</t>
  </si>
  <si>
    <t>Le coût total évalué pour la catégorie 4.3 (somme des prix mensuels calculés à la colonne C pour tous les articles d’exécution des années 1 à 3) :</t>
  </si>
  <si>
    <t>Catégorie 4.3.1 : Colis — Échantillons envoyés à Ottawa aux fins d’essai</t>
  </si>
  <si>
    <t>Le coût total évalué pour la catégorie 4.3.1 (somme des prix mensuels calculés à la colonne C pour tous les articles d’exécution des années 1 à 3) :</t>
  </si>
  <si>
    <t>Catégorie 4.3.2 : Expédition de fret aérien</t>
  </si>
  <si>
    <t>Les coûts du fret aérien doivent être calculés conformément aux Principes des coûts contractuels 1031-2. Veuillez consulter la clause du Guide des CCUA 1031-2 (2012-07-16), Principes des coûts contractuels : https://achatsetventes.gc.ca/politiques-et-lignes-directrices/guide-des-clauses-et-conditions-uniformisees-d-achat/3/1031-2/6</t>
  </si>
  <si>
    <t>Catégorie 4.3.4 : Autres coûts de transports</t>
  </si>
  <si>
    <t>L’entrepreneur doit fournir ses coûts de transport pour les autres emplacements qui ne figurent pas à l’annexe A, Énoncé ou travaux, et à l’annexe B, Base de paiement. On peut s’attendre à ce que l’entrepreneur transporte des marchandises pour le présent contrat à d’autres endroits au Canada de temps à autre si l’AT le lui demande conformément à l’annexe A, Énoncé des travaux — 4.3  Transport de départ (services de distribution).</t>
  </si>
  <si>
    <t>Catégorie 4.5 : Supplément de carburant</t>
  </si>
  <si>
    <t xml:space="preserve">Catégorie 4.5 est assujetti à un rajustement à la hausse ou à la baisse, afin de permettre : </t>
  </si>
  <si>
    <t>a. des changements attribuables au rajustement des prix des produits pétroliers découlant directement d’une augmentation ou diminution des prix imposée par le producteur de pétrole. Une copie de l’avis de l’entrepreneur avisant d’une augmentation ou diminution des prix par le producteur de pétrole doit être fournie à l’autorité contractante; et(ou)</t>
  </si>
  <si>
    <t>b. l’institution de nouveaux ou changement aux droits, aux tarifs ou aux frais de quelque nature que ce soit, applicables à tout produit pétrolier autorisé, ordonné ou convenu par le Canada ou tout gouvernement provincial, ou par tout organisme gouvernemental de réglementation.</t>
  </si>
  <si>
    <t>La catégorie 4.5 s’applique aux catégories 4.2, 4.2.1, 4.3, 4.3.1, 4.3.2, 4.3.3, 4.3.4, et 5.2.1</t>
  </si>
  <si>
    <t>5. OPÉRATIONS D’ENTREPOSAGE</t>
  </si>
  <si>
    <t>Catégorie 5.2 : Entreposage</t>
  </si>
  <si>
    <t>Le coût total évalué pour la catégorie 5.2 (somme des prix mensuels calculés à la colonne C pour tous les articles d’exécution des années 1 à 3) :</t>
  </si>
  <si>
    <t>Catégorie 5.2.1 : Déplacement entre les installations</t>
  </si>
  <si>
    <t>Le coût total évalué pour la catégorie 5.2.1 (somme des prix mensuels calculés à la colonne C pour tous les articles d’exécution des années 1 à 3) :</t>
  </si>
  <si>
    <t>5.3 Exigences en matière d’évolutivité</t>
  </si>
  <si>
    <t>Catégorie 5.4 : Services de réception</t>
  </si>
  <si>
    <t>Lexique :</t>
  </si>
  <si>
    <t>Palettisation dans l’entrepôt de la RGT</t>
  </si>
  <si>
    <t>1.1. B</t>
  </si>
  <si>
    <t>Palettisation dans l’entrepôt de la côte ouest</t>
  </si>
  <si>
    <t>1.1. C</t>
  </si>
  <si>
    <t>Réception dans l’entrepôt de la RGT</t>
  </si>
  <si>
    <t>1.2. B</t>
  </si>
  <si>
    <t>Réception dans l’entrepôt de la côte ouest</t>
  </si>
  <si>
    <t>1.2. C</t>
  </si>
  <si>
    <t>Étiquetage des produits (étiquettes/mois) dans l’entrepôt de la RGT</t>
  </si>
  <si>
    <t>1.5. B</t>
  </si>
  <si>
    <t>Étiquetage des produits (étiquettes/mois) dans l’entrepôt de la côte ouest</t>
  </si>
  <si>
    <t>1.5. C</t>
  </si>
  <si>
    <t>Échantillonnage (selon la direction de l’AT) dans l’entrepôt de la RGT</t>
  </si>
  <si>
    <t>1.6. B</t>
  </si>
  <si>
    <t>Échantillonnage (selon la direction de l’AT) dans l’entrepôt de la côte ouest</t>
  </si>
  <si>
    <t>1.6. C</t>
  </si>
  <si>
    <t>Documentation (formulaire et photos téléchargés sur la plateforme de collaboration) dans l’entrepôt de la RGT</t>
  </si>
  <si>
    <t>1.7. B</t>
  </si>
  <si>
    <t>Documentation (formulaire et photos téléchargés sur la plateforme de collaboration) dans l’entrepôt de la côte ouest</t>
  </si>
  <si>
    <t>150 000 caisses</t>
  </si>
  <si>
    <t>1.7. C</t>
  </si>
  <si>
    <t>1.8. B</t>
  </si>
  <si>
    <t>1.8. C</t>
  </si>
  <si>
    <t>1 144 palettes</t>
  </si>
  <si>
    <t>Ranger dans l’entrepôt de la RGT</t>
  </si>
  <si>
    <t>1.9. B</t>
  </si>
  <si>
    <t>Ranger dans l’entrepôt de la côte ouest</t>
  </si>
  <si>
    <t>2 000 palettes</t>
  </si>
  <si>
    <t>1.9. C</t>
  </si>
  <si>
    <t>2.1. B</t>
  </si>
  <si>
    <t>2.1. C</t>
  </si>
  <si>
    <t>2.2. B</t>
  </si>
  <si>
    <t>2.2. C</t>
  </si>
  <si>
    <t>2.5. B</t>
  </si>
  <si>
    <t>2.5. C</t>
  </si>
  <si>
    <t>2.6. B</t>
  </si>
  <si>
    <t>2.6. C</t>
  </si>
  <si>
    <t>2.7. B</t>
  </si>
  <si>
    <t>2.7. C</t>
  </si>
  <si>
    <t>2.8. B</t>
  </si>
  <si>
    <t>2.8. C</t>
  </si>
  <si>
    <t>2.9. B</t>
  </si>
  <si>
    <t>2.9. C</t>
  </si>
  <si>
    <t>3.1. B</t>
  </si>
  <si>
    <t>3.1. C</t>
  </si>
  <si>
    <t>3.2. B</t>
  </si>
  <si>
    <t>3.2. C</t>
  </si>
  <si>
    <t>3.5. B</t>
  </si>
  <si>
    <t>3.5. C</t>
  </si>
  <si>
    <t>3.6. B</t>
  </si>
  <si>
    <t>3.6. C</t>
  </si>
  <si>
    <t>3.7. B</t>
  </si>
  <si>
    <t>3.7. C</t>
  </si>
  <si>
    <t>3.8. B</t>
  </si>
  <si>
    <t>3.8. C</t>
  </si>
  <si>
    <t>3.9. B</t>
  </si>
  <si>
    <t>3.9. C</t>
  </si>
  <si>
    <t>Le coût total évalué pour la catégorie 5.4 (somme des prix mensuels calculés à la colonne C pour tous les articles d’exécution des années 1 à 3) :</t>
  </si>
  <si>
    <t>Catégorie 5.5 : Services de gestion de l’inventaire</t>
  </si>
  <si>
    <t>Prix calculé (A x B)</t>
  </si>
  <si>
    <t>Ratio d’heures requises par volume (sera rempli en fonction des heures indiquées dans la colonne A pour chaque article) (Heures [colonne A] par volume)</t>
  </si>
  <si>
    <t>heures par 41 100 palettes</t>
  </si>
  <si>
    <t>heures par 6 000 palettes</t>
  </si>
  <si>
    <t>heures par 37 100 palettes</t>
  </si>
  <si>
    <t>heures par 6 700 palettes</t>
  </si>
  <si>
    <t>heures par 14 000 palettes</t>
  </si>
  <si>
    <t>heures par 3 000 palettes</t>
  </si>
  <si>
    <t>Catégorie 5.6 : Services d’expédition</t>
  </si>
  <si>
    <t>Préparation dans l’entrepôt de la RGT</t>
  </si>
  <si>
    <t>Préparation dans l’entrepôt de la côte ouest</t>
  </si>
  <si>
    <t>Emballage dans l’entrepôt de la RGT</t>
  </si>
  <si>
    <t>Emballage dans l’entrepôt de la côte ouest</t>
  </si>
  <si>
    <t>Positionnement dans l’entrepôt de la RGT</t>
  </si>
  <si>
    <t>1.3. B</t>
  </si>
  <si>
    <t>Positionnement dans l’entrepôt de la côte ouest</t>
  </si>
  <si>
    <t>1.3. C</t>
  </si>
  <si>
    <t>Étiquetage des envois (étiquettes de suivi/mois) dans l’entrepôt de la RGT</t>
  </si>
  <si>
    <t>1.4. B</t>
  </si>
  <si>
    <t>Étiquetage des envois (étiquettes de suivi/mois) dans l’entrepôt de la côte ouest</t>
  </si>
  <si>
    <t>1.4. C</t>
  </si>
  <si>
    <t>1 700 étiquettes</t>
  </si>
  <si>
    <t>Étiquetage des envois (bordereaux d’expédition/mois) dans l’entrepôt de la RGT</t>
  </si>
  <si>
    <t>Étiquetage des envois (bordereaux d’expédition/mois) dans l’entrepôt de la côte ouest</t>
  </si>
  <si>
    <t>Étiquetage supplémentaire (au besoin) dans l’entrepôt de la RGT</t>
  </si>
  <si>
    <t>Étiquetage supplémentaire (au besoin) dans l’entrepôt de la côte ouest</t>
  </si>
  <si>
    <t>Expédition dans l’entrepôt de la RGT</t>
  </si>
  <si>
    <t>Expédition dans l’entrepôt de la côte ouest</t>
  </si>
  <si>
    <t>2.3. B</t>
  </si>
  <si>
    <t>2.3. C</t>
  </si>
  <si>
    <t>2.4. B</t>
  </si>
  <si>
    <t>2.4. C</t>
  </si>
  <si>
    <t>1 500 caisses</t>
  </si>
  <si>
    <t>3.3. B</t>
  </si>
  <si>
    <t>3.3. C</t>
  </si>
  <si>
    <t>3.4. B</t>
  </si>
  <si>
    <t>3.4. C</t>
  </si>
  <si>
    <t>Le coût total évalué pour la catégorie 5.6 (somme des prix mensuels calculés à la colonne C pour tous les articles d’exécution des années 1 à 3) :</t>
  </si>
  <si>
    <r>
      <t xml:space="preserve">Pour les travaux </t>
    </r>
    <r>
      <rPr>
        <sz val="10"/>
        <color theme="2" tint="-0.89999084444715716"/>
        <rFont val="Arial"/>
        <family val="2"/>
      </rPr>
      <t>assujettis à un prix unitaire ferme</t>
    </r>
    <r>
      <rPr>
        <sz val="10"/>
        <color theme="1"/>
        <rFont val="Arial"/>
        <family val="2"/>
      </rPr>
      <t>, l’entrepreneur sera payé pour les travaux exécutés, conformément à la base de paiement à l’annexe B.</t>
    </r>
  </si>
  <si>
    <t>Services de transport entrant conformément à l’annexe A, Énoncé des travaux — 4.2 Transport entrant (transport depuis le port d’entrée et fournisseurs locaux). Ces prix seront utilisés dans les deux sens, si la livraison locale au point d’entrée est nécessaire pour expédier des articles à des endroits éloignés qui ne sont pas accessibles par la route à la catégorie 4.3.2 : Services de fret aérien.</t>
  </si>
  <si>
    <t>Voici les catégories assujetties aux prix unitaires fermes : Catégorie 2 : Services de gestion des programmes, Catégorie 4.1 : Services douaniers, Catégorie 4.2 : Services de transport entrant, 4.2.1 : Services de transport entrant — transfert de palettes des installations actuelles, Catégorie 4.3 : Services de transport de départ, Catégorie 4.3.1 : Colis — Échantillons envoyés à Ottawa aux fins d’essai, Catégorie 4.3.3 : Envoie urgent, Catégorie 4.3.4 : Autres coûts de transport, Catégorie 5,2 Entreposage, Catégorie 5.2.1 : Déplacement entre les installations, Catégorie 5.4 : Services de réception, Catégorie 5.5 : Services de gestion de l’inventaire, et Catégorie 5.6 : Services d’expédition.</t>
  </si>
  <si>
    <t>Catégorie 4.2.1 : Services de transport entrant — transfert de palettes des installations actuelles</t>
  </si>
  <si>
    <t>FCA (Richmond, Québec) à l’entrepôt de la RGM</t>
  </si>
  <si>
    <t>Services de transport entrant conformément à l’annexe A, Énoncé des travaux — 4.2 Transport entrant (transport depuis le port d’entrée et fournisseurs locaux). 4.2.5.b les 32 000 palettes actuellement stockées dans d'autres installations dans le RGT et RGM, qui devront être absorbées par l'installation de la RGT et de la RGM.</t>
  </si>
  <si>
    <t>Installation actuelle (RGM) à l’entrepôt de la RGM (volume à déplacer pendant les premiers mois d’activités)</t>
  </si>
  <si>
    <t>De l’entrepôt de la RGM à Boucherville (Québec)</t>
  </si>
  <si>
    <t>De l’entrepôt de la RGM à Moncton (Nouveau-Brunswick)</t>
  </si>
  <si>
    <t>De l’entrepôt de la RGM à Dartmouth (Nouvelle-Écosse)</t>
  </si>
  <si>
    <t>De l’entrepôt de la RGM à Charlottetown (Île-du-Prince-Édouard)</t>
  </si>
  <si>
    <t>De l’entrepôt de la RGM à Saint John’s (Terre-Neuve-et-Labrador)</t>
  </si>
  <si>
    <t>De l’entrepôt de la RGM à Ottawa (Ontario)</t>
  </si>
  <si>
    <t>De l’aéroport de Montréal (Mirabel) à l’entrepôt de la RGM</t>
  </si>
  <si>
    <t>Espace d’entreposage dans l’entrepôt de la RGM</t>
  </si>
  <si>
    <t>De l’entrepôt de la côte ouest à l’entrepôt de la RGM</t>
  </si>
  <si>
    <t>De l’entrepôt de la RGT à l’entrepôt de la RGM</t>
  </si>
  <si>
    <t>De l’entrepôt de la RGM à l’entrepôt de la RGT</t>
  </si>
  <si>
    <t>De l’entrepôt de la RGM à l’entrepôt de la côte ouest</t>
  </si>
  <si>
    <t>Palettisation dans l’entrepôt de la RGM</t>
  </si>
  <si>
    <t>Réception dans l’entrepôt de la RGM</t>
  </si>
  <si>
    <t>Étiquetage des produits (étiquettes/mois) dans l’entrepôt de la RGM</t>
  </si>
  <si>
    <t>Échantillonnage (selon la direction de l’AT) dans l’entrepôt de la RGM</t>
  </si>
  <si>
    <t>Documentation (formulaire et photos téléchargés sur la plateforme de collaboration) dans l’entrepôt de la RGM</t>
  </si>
  <si>
    <t>Traduction pour les articles reçus dans l’entrepôt de la RGM</t>
  </si>
  <si>
    <t>Ranger dans l’entrepôt de la RGM</t>
  </si>
  <si>
    <t>Technicien en contrôle de la qualité dans l’entrepôt de la RGM</t>
  </si>
  <si>
    <t>Préparation dans l’entrepôt de la RGM</t>
  </si>
  <si>
    <t>Emballage dans l’entrepôt de la RGM</t>
  </si>
  <si>
    <t>Positionnement dans l’entrepôt de la RGM</t>
  </si>
  <si>
    <t>Étiquetage des envois (étiquettes de suivi/mois) dans l’entrepôt de la RGM</t>
  </si>
  <si>
    <t>Étiquetage des envois (bordereaux d’expédition/mois) dans l’entrepôt de la RGM</t>
  </si>
  <si>
    <t>Étiquetage supplémentaire (au besoin) dans l’entrepôt de la RGM</t>
  </si>
  <si>
    <t>Expédition dans l’entrepôt de la RGM</t>
  </si>
  <si>
    <t>Catégorie 4.3 :  Services de transport de départ</t>
  </si>
  <si>
    <t>Catégorie 4.3.3 Envoie urgent</t>
  </si>
  <si>
    <t>Catégorie 4.4 : Transports - divers - capacité de chaîne froid</t>
  </si>
  <si>
    <t>L’entrepreneur devrait fournir ses coûts pour le transport en chaîne de froid, conformément à l’annexe A, Énoncé des travaux — 4.4.3.</t>
  </si>
  <si>
    <t>Catégorie 5.1.1 : Entreposage en chaine de froid</t>
  </si>
  <si>
    <t>L’entrepreneur devrait fournir ses coûts pour l'entreposage en chaîne de froid, conformément à l’annexe A, Énoncé des travaux —5.1.7.</t>
  </si>
  <si>
    <t>Envois urgents conformément à l’annexe A, Énoncé des travaux – 4.3  Transport de départ (services de distribution) et 4.3.3.b Service urgent.</t>
  </si>
  <si>
    <t>Exigences relatives aux entrepôts conformément à l’annexe A, Énoncé des travaux — 5.2 Exigences en matière d’entreposage</t>
  </si>
  <si>
    <t>Services de gestion de l’inventaire conformément à l’annexe A, Énoncé des travaux — 5.5 Gestion de l’inventaire.</t>
  </si>
  <si>
    <t>Le coût total évalué pour la catégorie 5.5 (somme des prix mensuels calculés à la colonne C pour tous les articles d’exécution des années 1 à 3) :</t>
  </si>
  <si>
    <t>Services d’expédition des activités d’entreposage conformément à l’annexe A, Énoncé des travaux — 5.6 Expédition</t>
  </si>
  <si>
    <t>Services de transport de départ conformément à l’annexe A, Énoncé des travaux — 4.3 Transport de départ (services de distribution).</t>
  </si>
  <si>
    <t>Services de réception des activités d’entreposage conformément à l’annexe A, Énoncé des travaux — 5.4 Réception.</t>
  </si>
  <si>
    <t>Le coût total évalué pour la catégorie 2 (somme des prix mensuels calculés à la colonne C pour tous les articles d’exécution des années 1 à 3) :</t>
  </si>
  <si>
    <t>78 400 caisses</t>
  </si>
  <si>
    <t>145 000 caisses</t>
  </si>
  <si>
    <t>3 300 palettes</t>
  </si>
  <si>
    <t>4 700 caisses</t>
  </si>
  <si>
    <t>35 caisses</t>
  </si>
  <si>
    <t>209 caisses</t>
  </si>
  <si>
    <t>6 palettes</t>
  </si>
  <si>
    <t>1 740 caisses</t>
  </si>
  <si>
    <t>50 palettes</t>
  </si>
  <si>
    <t> 400 caisses</t>
  </si>
  <si>
    <t>200 palettes</t>
  </si>
  <si>
    <t>400 caisses</t>
  </si>
  <si>
    <t>3 000 caisses</t>
  </si>
  <si>
    <t>1 caisse</t>
  </si>
  <si>
    <t>24 000 palettes (estimé total)</t>
  </si>
  <si>
    <t>8 000 palettes (estimé total)</t>
  </si>
  <si>
    <t>1 179 750 caisses (estimé total)</t>
  </si>
  <si>
    <t>393 250 caisses (estimé total)</t>
  </si>
  <si>
    <t>107 palettes</t>
  </si>
  <si>
    <t>643 palettes</t>
  </si>
  <si>
    <t>105 palettes</t>
  </si>
  <si>
    <t>543 palettes</t>
  </si>
  <si>
    <t>78 palettes</t>
  </si>
  <si>
    <t>24 palette</t>
  </si>
  <si>
    <t>37 palettes</t>
  </si>
  <si>
    <t>66 palettes</t>
  </si>
  <si>
    <t>92 palettes</t>
  </si>
  <si>
    <t>123 palettes</t>
  </si>
  <si>
    <t>82 palettes</t>
  </si>
  <si>
    <t>2 208 palettes</t>
  </si>
  <si>
    <t>104 palettes</t>
  </si>
  <si>
    <t>232 palettes</t>
  </si>
  <si>
    <t>383 palettes</t>
  </si>
  <si>
    <t>44 palettes</t>
  </si>
  <si>
    <t>177 palettes</t>
  </si>
  <si>
    <t>1 903 palettes</t>
  </si>
  <si>
    <t>153 palettes</t>
  </si>
  <si>
    <t>132 palettes</t>
  </si>
  <si>
    <t>36 palettes</t>
  </si>
  <si>
    <t>251 palettes</t>
  </si>
  <si>
    <t>23 palettes</t>
  </si>
  <si>
    <t>16 palettes</t>
  </si>
  <si>
    <t>157 palettes</t>
  </si>
  <si>
    <t>1 677 palettes</t>
  </si>
  <si>
    <t>174 colis</t>
  </si>
  <si>
    <t>158 colis</t>
  </si>
  <si>
    <t>5 colis</t>
  </si>
  <si>
    <t>3 colis</t>
  </si>
  <si>
    <t>13 colis</t>
  </si>
  <si>
    <t>Cette catégorie sera utilisée à titre d’information seulement et ne sera pas utilisée à des fins d’évaluation.</t>
  </si>
  <si>
    <t>55 000 palettes</t>
  </si>
  <si>
    <t>12 000 palettes</t>
  </si>
  <si>
    <t>13 000 palettes</t>
  </si>
  <si>
    <t>47 100 palettes</t>
  </si>
  <si>
    <t>8 000 palettes</t>
  </si>
  <si>
    <t>27 000 palettes</t>
  </si>
  <si>
    <t>6 000 palettes</t>
  </si>
  <si>
    <t>Quantité estimative mensuelle maximale</t>
  </si>
  <si>
    <t>1 453 palettes</t>
  </si>
  <si>
    <t>93 palettes</t>
  </si>
  <si>
    <t>178 palettes</t>
  </si>
  <si>
    <t>798 palettes</t>
  </si>
  <si>
    <t>172 palettes</t>
  </si>
  <si>
    <t>815 palettes</t>
  </si>
  <si>
    <t>5 palette</t>
  </si>
  <si>
    <t>826 palettes</t>
  </si>
  <si>
    <t>3 palette</t>
  </si>
  <si>
    <t>485 palettes</t>
  </si>
  <si>
    <t>278 500 caisses</t>
  </si>
  <si>
    <t>85 600 caisses</t>
  </si>
  <si>
    <t>86 500 caisses</t>
  </si>
  <si>
    <t>1.3.B</t>
  </si>
  <si>
    <t>Transbordement (dans l’entrepôt de la RGT)</t>
  </si>
  <si>
    <t>2.3.B</t>
  </si>
  <si>
    <t>3.3.B</t>
  </si>
  <si>
    <t>84 400 caisses</t>
  </si>
  <si>
    <t>106 400 caisses</t>
  </si>
  <si>
    <t>200 UGS</t>
  </si>
  <si>
    <t>164 800 étiquettes</t>
  </si>
  <si>
    <t>150 000 étiquettes</t>
  </si>
  <si>
    <t>4 730 étiquettes</t>
  </si>
  <si>
    <t>2 960 caisses</t>
  </si>
  <si>
    <t>47 caisses</t>
  </si>
  <si>
    <t>164 800 caisses</t>
  </si>
  <si>
    <t>4 730 caisses</t>
  </si>
  <si>
    <t>2 882 palettes</t>
  </si>
  <si>
    <t>2 622 palettes</t>
  </si>
  <si>
    <t>1 900 palettes</t>
  </si>
  <si>
    <t>1 650 caisses</t>
  </si>
  <si>
    <t>960 caisses</t>
  </si>
  <si>
    <t>970 caisses</t>
  </si>
  <si>
    <t>2 090 caisses</t>
  </si>
  <si>
    <t>5 UGS</t>
  </si>
  <si>
    <t> 700 étiquettes</t>
  </si>
  <si>
    <t>2 900 étiquettes</t>
  </si>
  <si>
    <t>10 caisses</t>
  </si>
  <si>
    <t>30 caisses</t>
  </si>
  <si>
    <t>5 caisses</t>
  </si>
  <si>
    <t>700 caisses</t>
  </si>
  <si>
    <t>2 900 caisses</t>
  </si>
  <si>
    <t>1 étiquette</t>
  </si>
  <si>
    <t>13 palettes</t>
  </si>
  <si>
    <t>49 palettes</t>
  </si>
  <si>
    <t>1 040 palettes</t>
  </si>
  <si>
    <t>600 palettes</t>
  </si>
  <si>
    <t>610 palettes</t>
  </si>
  <si>
    <t>129 500 caisses</t>
  </si>
  <si>
    <t>76 100 caisses</t>
  </si>
  <si>
    <t>77 000 caisses</t>
  </si>
  <si>
    <t>3 256 unités</t>
  </si>
  <si>
    <t>1 650 unités</t>
  </si>
  <si>
    <t>52 unités</t>
  </si>
  <si>
    <t>129 500 caisses</t>
  </si>
  <si>
    <t>2 700 étiquettes</t>
  </si>
  <si>
    <t>4 100 étiquettes</t>
  </si>
  <si>
    <t>117 étiquettes</t>
  </si>
  <si>
    <t>205 étiquettes</t>
  </si>
  <si>
    <t>147 étiquettes</t>
  </si>
  <si>
    <t>6 475 caisses</t>
  </si>
  <si>
    <t>3 805 caisses</t>
  </si>
  <si>
    <t>73 400 caisses</t>
  </si>
  <si>
    <t>12 300 caisses</t>
  </si>
  <si>
    <t>12 400 caisses</t>
  </si>
  <si>
    <t>11 unités</t>
  </si>
  <si>
    <t>33 unités</t>
  </si>
  <si>
    <t>5 unités</t>
  </si>
  <si>
    <t>2 200 étiquettes</t>
  </si>
  <si>
    <t>500 étiquettes</t>
  </si>
  <si>
    <t>28 étiquettes</t>
  </si>
  <si>
    <t>3 670 caisses</t>
  </si>
  <si>
    <t>615 caisses</t>
  </si>
  <si>
    <t>620 caisses</t>
  </si>
  <si>
    <t>Expédition des articles transbordés dans les entrepôts de la RGT</t>
  </si>
  <si>
    <t>2.8.B</t>
  </si>
  <si>
    <t>2 100 caisses</t>
  </si>
  <si>
    <t>1.8.B</t>
  </si>
  <si>
    <t>3.8.B</t>
  </si>
  <si>
    <t>Expédition des articles transbordés dans les entrepôts de la</t>
  </si>
  <si>
    <t>72 900 caisses</t>
  </si>
  <si>
    <t>12 100 caisses</t>
  </si>
  <si>
    <t>73 400 caisses</t>
  </si>
  <si>
    <t xml:space="preserve">$                                                   /caisse                            </t>
  </si>
  <si>
    <t xml:space="preserve">$                                                   /palette                            </t>
  </si>
  <si>
    <t>17 palettes</t>
  </si>
  <si>
    <t>150 palettes</t>
  </si>
  <si>
    <t>Conformément à l’Énoncé des travaux 4.3.2, l’entrepreneur doit utiliser le moyen de transport le plus économique possible pour répondre à la norme de livraison demandée, sauf indication contraire du RT. Il convient toutefois de noter que certains lieux de livraison, comme Iqaluit, au Nunavut, ne sont pas accessibles par voie routière et ne peuvent être desservis que par voie aérienne.</t>
  </si>
  <si>
    <t>1 100 caisses</t>
  </si>
  <si>
    <t>1.3 Autorisations de tâches</t>
  </si>
  <si>
    <t>Les autorisations de tâches permettent au Canada d'autoriser l'entrepreneur pour d'autres services qui pourraient être nécessaires, mais qui ne sont pas énumérés dans l'énoncé des travaux à l'annexe A. Ces services seront liés à l'entreposage et au transport de l'équipement de protection individuelle confirmé par les autorisations de tâches demandées par le responsable technique.</t>
  </si>
  <si>
    <t>L'entrepreneur sera payé pour les travaux décrits dans l'autorisation de tâches (AT) autorisée, conformément à la base de paiement à l'annexe B ou dans l'autorisation de tâches.</t>
  </si>
  <si>
    <t>La responsabilité du Canada envers l'entrepreneur en vertu de l'AT autorisée ne doit pas dépasser la limitation des dépenses indiqué dans l'AT autorisée.</t>
  </si>
  <si>
    <t>Aucune augmentation de la responsabilité totale du Canada ou du prix des travaux précisés dans toute AT autorisée découlant de tout changement à la conception, ou de toute modification ou interprétation des travaux, ne sera autorisée ou payée à l'entrepreneur, à moins que ces changements à la conception, ces modifications ou ces interprétations n'aient été approuvés, par écrit, par l'autorité contractante avant d'être intégrés aux travaux.</t>
  </si>
  <si>
    <t>L'allocation pour les exigences de travail supplémentaire confirmées par des autorisations de tâches est 200 000,00 $, taxes applicables en sus.</t>
  </si>
  <si>
    <t>Sur demande, les prix peuvent être validés avant d'être intégrés au contrat.</t>
  </si>
  <si>
    <t>En outre, les soumissionnaires sont priés de fournir des prix pour les itinéraires suivants à des fins d’information :</t>
  </si>
  <si>
    <t>3 850 caisses</t>
  </si>
  <si>
    <r>
      <rPr>
        <b/>
        <sz val="10"/>
        <color theme="1"/>
        <rFont val="Arial"/>
        <family val="2"/>
      </rPr>
      <t xml:space="preserve">Tarif ferme par </t>
    </r>
    <r>
      <rPr>
        <b/>
        <sz val="10"/>
        <color rgb="FFFF0000"/>
        <rFont val="Arial"/>
        <family val="2"/>
      </rPr>
      <t>colis</t>
    </r>
    <r>
      <rPr>
        <b/>
        <sz val="10"/>
        <color theme="1"/>
        <rFont val="Arial"/>
        <family val="2"/>
      </rPr>
      <t xml:space="preserve"> (</t>
    </r>
    <r>
      <rPr>
        <b/>
        <i/>
        <sz val="10"/>
        <color theme="1"/>
        <rFont val="Arial"/>
        <family val="2"/>
      </rPr>
      <t>à l’exception du supplément de carburant</t>
    </r>
    <r>
      <rPr>
        <b/>
        <sz val="10"/>
        <color theme="1"/>
        <rFont val="Arial"/>
        <family val="2"/>
      </rPr>
      <t>)</t>
    </r>
  </si>
  <si>
    <r>
      <t xml:space="preserve">Tarif ferme par </t>
    </r>
    <r>
      <rPr>
        <b/>
        <i/>
        <sz val="10"/>
        <color rgb="FFFF0000"/>
        <rFont val="Arial"/>
        <family val="2"/>
      </rPr>
      <t>colis</t>
    </r>
    <r>
      <rPr>
        <b/>
        <i/>
        <sz val="10"/>
        <color theme="1"/>
        <rFont val="Arial"/>
        <family val="2"/>
      </rPr>
      <t xml:space="preserve"> (y compris le supplément de carburant au 25 juin 2020)</t>
    </r>
  </si>
  <si>
    <t>Colonnes :</t>
  </si>
  <si>
    <t>N°</t>
  </si>
  <si>
    <t>Taux fixe mensuel</t>
  </si>
  <si>
    <t>Capacité totale</t>
  </si>
  <si>
    <t>6. COÛTS FIXES</t>
  </si>
  <si>
    <t>Coûts fixes pour l’entrepôt de la RGT</t>
  </si>
  <si>
    <t>Coûts fixes pour l’entrepôt de la RGM</t>
  </si>
  <si>
    <t>Coûts fixes pour l’entrepôt de la côte ouest</t>
  </si>
  <si>
    <t>*Aux fins de l’évaluation, la capacité totale requise est utilisée.</t>
  </si>
  <si>
    <t>*Le coût total évalué pour la catégorie 6.1 (somme des taux fixes mensuels à la colonne B pour tous les articles d’exécution des années 1 à 3) :</t>
  </si>
  <si>
    <t>Pendant la période d’augmentation de la capacité disponible (à partir des 4 premières semaines suivant l’attribution du contrat jusqu’à 4 mois suivants celle-ci), les taux fixes mensuels seront calculés au prorata de la capacité disponible en termes de positions palettes disponibles par mois vs la capacité totale requise, comme indiqué dans le tableau ci-bas. Une fois que l’entrepreneur atteint la capacité complète, le prix payé sera le taux fixe mensuel fourni.</t>
  </si>
  <si>
    <r>
      <t xml:space="preserve">*Le coût estimatif total correspond à la somme des coûts des catégories évaluées 2, 4,1, 4,2, 4,3, 4.3.1, 4.3.2, 4.3.3, 4.3.4, 5.2, 5.2.1, 5,3, 5,4, 5,6 et </t>
    </r>
    <r>
      <rPr>
        <i/>
        <sz val="10"/>
        <color rgb="FFFF0000"/>
        <rFont val="Arial"/>
        <family val="2"/>
      </rPr>
      <t xml:space="preserve">6.1 </t>
    </r>
    <r>
      <rPr>
        <i/>
        <sz val="10"/>
        <color theme="1"/>
        <rFont val="Arial"/>
        <family val="2"/>
      </rPr>
      <t>x 12 mois, plus la somme des coûts des catégories évaluées 5.5 et 4.2.1.</t>
    </r>
  </si>
  <si>
    <t>Basé sur une capacité de 55 000 palettes</t>
  </si>
  <si>
    <t>Basé sur une capacité de 12 000 palettes</t>
  </si>
  <si>
    <t>Basé sur une capacité de 13 000 palettes</t>
  </si>
  <si>
    <t>Basé sur une capacité de 55 000 palettes</t>
  </si>
  <si>
    <t>Basé sur une capacité de 12 000 palettes</t>
  </si>
  <si>
    <t>Basé sur une capacité de 13 000 palettes</t>
  </si>
  <si>
    <t>Catégorie 6.1: Taux fixes mensuels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</si>
</sst>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1009]* #,##0.00_-;\-[$$-1009]* #,##0.00_-;_-[$$-1009]* &quot;-&quot;??_-;_-@_-"/>
  </numFmts>
  <fonts count="1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b/>
      <i/>
      <sz val="10"/>
      <color theme="1"/>
      <name val="Arial"/>
      <family val="2"/>
    </font>
    <font>
      <b/>
      <vertAlign val="superscript"/>
      <sz val="10"/>
      <color theme="1"/>
      <name val="Arial"/>
      <family val="2"/>
    </font>
    <font>
      <b/>
      <sz val="10"/>
      <color theme="2" tint="-0.89999084444715716"/>
      <name val="Arial"/>
      <family val="2"/>
    </font>
    <font>
      <sz val="10"/>
      <color rgb="FFFF0000"/>
      <name val="Arial"/>
      <family val="2"/>
    </font>
    <font>
      <i/>
      <sz val="10"/>
      <color theme="2" tint="-0.89999084444715716"/>
      <name val="Arial"/>
      <family val="2"/>
    </font>
    <font>
      <i/>
      <sz val="10"/>
      <color rgb="FFFF0000"/>
      <name val="Arial"/>
      <family val="2"/>
    </font>
    <font>
      <b/>
      <i/>
      <sz val="10"/>
      <color theme="2" tint="-0.89999084444715716"/>
      <name val="Arial"/>
      <family val="2"/>
    </font>
    <font>
      <b/>
      <sz val="10"/>
      <color rgb="FFFF0000"/>
      <name val="Arial"/>
      <family val="2"/>
    </font>
    <font>
      <sz val="10"/>
      <color theme="2" tint="-0.89999084444715716"/>
      <name val="Arial"/>
      <family val="2"/>
    </font>
    <font>
      <sz val="10"/>
      <name val="Arial"/>
      <family val="2"/>
    </font>
    <font>
      <i/>
      <sz val="10"/>
      <name val="Arial"/>
      <family val="2"/>
    </font>
    <font>
      <b/>
      <i/>
      <sz val="10"/>
      <color rgb="FFFF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D9D9D9"/>
        <bgColor indexed="64"/>
      </patternFill>
    </fill>
    <fill>
      <patternFill patternType="solid">
        <fgColor theme="1" tint="4.9989318521683403E-2"/>
        <bgColor indexed="64"/>
      </patternFill>
    </fill>
    <fill>
      <patternFill patternType="solid">
        <fgColor theme="6"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style="thick">
        <color auto="1"/>
      </right>
      <top/>
      <bottom style="thick">
        <color auto="1"/>
      </bottom>
      <diagonal/>
    </border>
    <border>
      <left style="medium">
        <color auto="1"/>
      </left>
      <right style="medium">
        <color theme="0"/>
      </right>
      <top style="medium">
        <color auto="1"/>
      </top>
      <bottom style="medium">
        <color auto="1"/>
      </bottom>
      <diagonal/>
    </border>
    <border>
      <left style="medium">
        <color theme="0"/>
      </left>
      <right style="medium">
        <color theme="0"/>
      </right>
      <top style="medium">
        <color auto="1"/>
      </top>
      <bottom style="medium">
        <color auto="1"/>
      </bottom>
      <diagonal/>
    </border>
    <border>
      <left style="medium">
        <color theme="0"/>
      </left>
      <right style="medium">
        <color auto="1"/>
      </right>
      <top style="medium">
        <color auto="1"/>
      </top>
      <bottom style="medium">
        <color auto="1"/>
      </bottom>
      <diagonal/>
    </border>
    <border>
      <left style="medium">
        <color theme="0"/>
      </left>
      <right/>
      <top style="medium">
        <color auto="1"/>
      </top>
      <bottom style="medium">
        <color auto="1"/>
      </bottom>
      <diagonal/>
    </border>
    <border>
      <left/>
      <right style="medium">
        <color theme="0"/>
      </right>
      <top style="medium">
        <color auto="1"/>
      </top>
      <bottom style="medium">
        <color auto="1"/>
      </bottom>
      <diagonal/>
    </border>
    <border>
      <left/>
      <right style="thick">
        <color auto="1"/>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0">
    <xf numFmtId="0" fontId="0" fillId="0" borderId="0" xfId="0"/>
    <xf numFmtId="0" fontId="3" fillId="0" borderId="0" xfId="0" applyFont="1"/>
    <xf numFmtId="0" fontId="2"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2" fillId="3" borderId="1" xfId="0" applyFont="1" applyFill="1" applyBorder="1" applyAlignment="1">
      <alignment vertical="center" wrapText="1"/>
    </xf>
    <xf numFmtId="0" fontId="5" fillId="3" borderId="3" xfId="0" applyFont="1" applyFill="1" applyBorder="1" applyAlignment="1">
      <alignment vertical="center" wrapText="1"/>
    </xf>
    <xf numFmtId="49" fontId="2" fillId="0" borderId="18" xfId="0" applyNumberFormat="1"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5" borderId="1" xfId="0" applyFont="1" applyFill="1" applyBorder="1" applyAlignment="1">
      <alignment horizontal="center" vertical="center" wrapText="1"/>
    </xf>
    <xf numFmtId="0" fontId="3" fillId="0" borderId="0" xfId="0" applyFont="1" applyAlignment="1">
      <alignment vertical="center" wrapText="1"/>
    </xf>
    <xf numFmtId="49" fontId="8" fillId="0" borderId="0" xfId="1" applyNumberFormat="1" applyFont="1" applyAlignment="1">
      <alignment horizontal="left"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49" fontId="13" fillId="0" borderId="5" xfId="0" applyNumberFormat="1" applyFont="1" applyFill="1" applyBorder="1" applyAlignment="1">
      <alignment vertical="center"/>
    </xf>
    <xf numFmtId="0" fontId="7" fillId="7" borderId="3" xfId="0" applyFont="1" applyFill="1" applyBorder="1" applyAlignment="1">
      <alignment vertical="center" wrapText="1"/>
    </xf>
    <xf numFmtId="49" fontId="3" fillId="0" borderId="0" xfId="1" applyNumberFormat="1" applyFont="1" applyFill="1" applyAlignment="1">
      <alignment horizontal="left" vertical="center" wrapText="1"/>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left" vertical="center"/>
    </xf>
    <xf numFmtId="43" fontId="3" fillId="0" borderId="0" xfId="1" applyFont="1" applyAlignment="1">
      <alignment horizontal="left" vertical="center" wrapText="1"/>
    </xf>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4" fillId="0" borderId="0" xfId="0" applyFont="1" applyAlignment="1">
      <alignment horizontal="left" vertical="center" wrapText="1"/>
    </xf>
    <xf numFmtId="0" fontId="3" fillId="0" borderId="1" xfId="0" applyFont="1" applyFill="1" applyBorder="1" applyAlignment="1">
      <alignment horizontal="left" vertical="center"/>
    </xf>
    <xf numFmtId="0" fontId="3" fillId="0" borderId="0" xfId="0" applyFont="1" applyAlignment="1">
      <alignment vertical="center"/>
    </xf>
    <xf numFmtId="49" fontId="3" fillId="0" borderId="1" xfId="0" applyNumberFormat="1" applyFont="1" applyBorder="1" applyAlignment="1">
      <alignment horizontal="left" vertical="center"/>
    </xf>
    <xf numFmtId="0" fontId="3" fillId="0" borderId="1" xfId="0" applyFont="1" applyBorder="1" applyAlignment="1">
      <alignment vertical="center"/>
    </xf>
    <xf numFmtId="49" fontId="2" fillId="0" borderId="18" xfId="0" applyNumberFormat="1" applyFont="1" applyBorder="1" applyAlignment="1">
      <alignment vertical="center"/>
    </xf>
    <xf numFmtId="0" fontId="2" fillId="0" borderId="19" xfId="0" applyFont="1" applyBorder="1" applyAlignment="1">
      <alignment vertical="center"/>
    </xf>
    <xf numFmtId="0" fontId="3" fillId="0" borderId="19" xfId="0" applyFont="1" applyBorder="1" applyAlignment="1">
      <alignment vertical="center"/>
    </xf>
    <xf numFmtId="49" fontId="2" fillId="0" borderId="18" xfId="0" applyNumberFormat="1" applyFont="1" applyBorder="1" applyAlignment="1">
      <alignment horizontal="left" vertical="center"/>
    </xf>
    <xf numFmtId="0" fontId="3" fillId="0" borderId="0" xfId="0" applyFont="1" applyFill="1" applyAlignment="1">
      <alignmen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164" fontId="4" fillId="2" borderId="1" xfId="0" applyNumberFormat="1" applyFont="1" applyFill="1" applyBorder="1" applyAlignment="1">
      <alignment vertical="center"/>
    </xf>
    <xf numFmtId="164" fontId="4" fillId="4" borderId="1" xfId="0" applyNumberFormat="1" applyFont="1" applyFill="1" applyBorder="1" applyAlignment="1">
      <alignment vertical="center"/>
    </xf>
    <xf numFmtId="164" fontId="3" fillId="4" borderId="6" xfId="0" applyNumberFormat="1" applyFont="1" applyFill="1" applyBorder="1" applyAlignment="1">
      <alignment vertical="center"/>
    </xf>
    <xf numFmtId="0" fontId="4" fillId="0" borderId="0" xfId="0" applyFont="1" applyFill="1" applyBorder="1" applyAlignment="1">
      <alignment horizontal="left" vertical="center"/>
    </xf>
    <xf numFmtId="44" fontId="4" fillId="0" borderId="0" xfId="0" applyNumberFormat="1" applyFont="1" applyFill="1" applyBorder="1" applyAlignment="1">
      <alignment horizontal="center" vertical="center"/>
    </xf>
    <xf numFmtId="0" fontId="4" fillId="0" borderId="1" xfId="0" applyFont="1" applyFill="1" applyBorder="1" applyAlignment="1">
      <alignment vertical="center"/>
    </xf>
    <xf numFmtId="0" fontId="2" fillId="0" borderId="0" xfId="0" applyFont="1" applyAlignment="1">
      <alignment vertical="center"/>
    </xf>
    <xf numFmtId="49" fontId="3" fillId="0" borderId="1" xfId="0" applyNumberFormat="1" applyFont="1" applyBorder="1" applyAlignment="1">
      <alignment vertical="center"/>
    </xf>
    <xf numFmtId="0" fontId="4" fillId="0" borderId="1" xfId="0" applyFont="1" applyFill="1" applyBorder="1" applyAlignment="1">
      <alignment horizontal="left" vertical="center"/>
    </xf>
    <xf numFmtId="10" fontId="4" fillId="0" borderId="0" xfId="0" applyNumberFormat="1" applyFont="1" applyFill="1" applyBorder="1" applyAlignment="1">
      <alignment vertical="center"/>
    </xf>
    <xf numFmtId="0" fontId="3" fillId="0" borderId="0" xfId="0" applyFont="1" applyFill="1" applyBorder="1" applyAlignment="1">
      <alignment vertical="center"/>
    </xf>
    <xf numFmtId="164" fontId="4" fillId="0" borderId="0" xfId="0" applyNumberFormat="1" applyFont="1" applyFill="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43" fontId="3" fillId="0" borderId="1" xfId="0" applyNumberFormat="1" applyFont="1" applyFill="1" applyBorder="1" applyAlignment="1">
      <alignment vertical="center"/>
    </xf>
    <xf numFmtId="0" fontId="4" fillId="0" borderId="0" xfId="0"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Fill="1" applyBorder="1" applyAlignment="1">
      <alignment horizontal="left" vertical="center"/>
    </xf>
    <xf numFmtId="164" fontId="13" fillId="0" borderId="3" xfId="0" applyNumberFormat="1" applyFont="1" applyFill="1" applyBorder="1" applyAlignment="1">
      <alignment horizontal="right" vertical="center"/>
    </xf>
    <xf numFmtId="0" fontId="9" fillId="0" borderId="0" xfId="0" applyFont="1" applyFill="1" applyBorder="1" applyAlignment="1">
      <alignment horizontal="center" vertical="center"/>
    </xf>
    <xf numFmtId="164" fontId="13" fillId="0" borderId="0" xfId="0" applyNumberFormat="1" applyFont="1" applyFill="1" applyBorder="1" applyAlignment="1">
      <alignment vertical="center"/>
    </xf>
    <xf numFmtId="164" fontId="9" fillId="0" borderId="0" xfId="0" applyNumberFormat="1" applyFont="1" applyFill="1" applyBorder="1" applyAlignment="1">
      <alignment vertical="center"/>
    </xf>
    <xf numFmtId="164" fontId="13" fillId="0" borderId="0" xfId="0" applyNumberFormat="1" applyFont="1" applyFill="1" applyBorder="1" applyAlignment="1">
      <alignment horizontal="right" vertical="center"/>
    </xf>
    <xf numFmtId="49" fontId="3" fillId="0" borderId="1" xfId="0" applyNumberFormat="1" applyFont="1" applyFill="1" applyBorder="1" applyAlignment="1">
      <alignment vertical="center"/>
    </xf>
    <xf numFmtId="164" fontId="3" fillId="2" borderId="1" xfId="0" applyNumberFormat="1" applyFont="1" applyFill="1" applyBorder="1" applyAlignment="1" applyProtection="1">
      <alignment vertical="center"/>
      <protection locked="0"/>
    </xf>
    <xf numFmtId="44" fontId="3" fillId="2" borderId="1" xfId="0" applyNumberFormat="1" applyFont="1" applyFill="1" applyBorder="1" applyAlignment="1" applyProtection="1">
      <alignment vertical="center"/>
      <protection locked="0"/>
    </xf>
    <xf numFmtId="44" fontId="3" fillId="2" borderId="1" xfId="2" applyFont="1" applyFill="1" applyBorder="1" applyAlignment="1" applyProtection="1">
      <alignment vertical="center"/>
      <protection locked="0"/>
    </xf>
    <xf numFmtId="0" fontId="2" fillId="2" borderId="1"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protection locked="0"/>
    </xf>
    <xf numFmtId="164" fontId="4" fillId="2" borderId="1" xfId="0" applyNumberFormat="1" applyFont="1" applyFill="1" applyBorder="1" applyAlignment="1" applyProtection="1">
      <alignment vertical="center"/>
      <protection locked="0"/>
    </xf>
    <xf numFmtId="164" fontId="3" fillId="2" borderId="5" xfId="0" applyNumberFormat="1" applyFont="1" applyFill="1" applyBorder="1" applyAlignment="1" applyProtection="1">
      <alignment vertical="center"/>
      <protection locked="0"/>
    </xf>
    <xf numFmtId="44" fontId="4" fillId="2" borderId="1" xfId="0" applyNumberFormat="1" applyFont="1" applyFill="1" applyBorder="1" applyAlignment="1" applyProtection="1">
      <alignment vertical="center"/>
      <protection locked="0"/>
    </xf>
    <xf numFmtId="44" fontId="4" fillId="2" borderId="1" xfId="2" applyFont="1" applyFill="1" applyBorder="1" applyAlignment="1" applyProtection="1">
      <alignment vertical="center"/>
      <protection locked="0"/>
    </xf>
    <xf numFmtId="49" fontId="3" fillId="8" borderId="0" xfId="0" applyNumberFormat="1" applyFont="1" applyFill="1" applyBorder="1" applyAlignment="1">
      <alignment horizontal="left" vertical="center"/>
    </xf>
    <xf numFmtId="164" fontId="13" fillId="2" borderId="1" xfId="0" applyNumberFormat="1" applyFont="1" applyFill="1" applyBorder="1" applyAlignment="1" applyProtection="1">
      <alignment vertical="center"/>
      <protection locked="0"/>
    </xf>
    <xf numFmtId="0" fontId="4" fillId="0" borderId="0" xfId="0" applyFont="1" applyFill="1" applyBorder="1" applyAlignment="1">
      <alignment horizontal="left" vertical="center"/>
    </xf>
    <xf numFmtId="0" fontId="12" fillId="0" borderId="0" xfId="0" applyFont="1" applyAlignment="1">
      <alignment horizontal="left"/>
    </xf>
    <xf numFmtId="0" fontId="8" fillId="0" borderId="0" xfId="0" applyFont="1" applyAlignment="1">
      <alignment horizontal="left"/>
    </xf>
    <xf numFmtId="0" fontId="12" fillId="0" borderId="0" xfId="0" applyFont="1" applyAlignment="1">
      <alignment horizontal="left" vertical="center" wrapText="1"/>
    </xf>
    <xf numFmtId="0" fontId="12" fillId="3" borderId="1" xfId="0" applyFont="1" applyFill="1" applyBorder="1" applyAlignment="1">
      <alignment horizontal="center" vertical="center" wrapText="1"/>
    </xf>
    <xf numFmtId="0" fontId="8" fillId="0" borderId="1" xfId="0" applyFont="1" applyBorder="1" applyAlignment="1">
      <alignment horizontal="left"/>
    </xf>
    <xf numFmtId="0" fontId="8" fillId="0" borderId="1" xfId="0" applyFont="1" applyBorder="1"/>
    <xf numFmtId="0" fontId="8" fillId="0" borderId="0" xfId="0" applyFont="1" applyBorder="1" applyAlignment="1">
      <alignment horizontal="left"/>
    </xf>
    <xf numFmtId="0" fontId="8" fillId="0" borderId="0" xfId="0" applyFont="1" applyBorder="1"/>
    <xf numFmtId="0" fontId="10" fillId="0" borderId="0" xfId="0" applyFont="1" applyBorder="1" applyAlignment="1">
      <alignment horizontal="center" vertical="center"/>
    </xf>
    <xf numFmtId="164" fontId="8" fillId="0" borderId="0" xfId="0" applyNumberFormat="1" applyFont="1" applyFill="1" applyBorder="1"/>
    <xf numFmtId="164" fontId="10" fillId="0" borderId="0" xfId="0" applyNumberFormat="1" applyFont="1" applyBorder="1" applyAlignment="1">
      <alignment horizontal="center"/>
    </xf>
    <xf numFmtId="49" fontId="12" fillId="0" borderId="18" xfId="0" applyNumberFormat="1" applyFont="1" applyFill="1" applyBorder="1" applyAlignment="1">
      <alignment vertical="center" wrapText="1"/>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49" fontId="12" fillId="0" borderId="18" xfId="0" applyNumberFormat="1" applyFont="1" applyBorder="1" applyAlignment="1">
      <alignment vertical="center"/>
    </xf>
    <xf numFmtId="0" fontId="12" fillId="0" borderId="19" xfId="0" applyFont="1" applyBorder="1" applyAlignment="1">
      <alignment vertical="center"/>
    </xf>
    <xf numFmtId="0" fontId="8" fillId="0" borderId="19" xfId="0" applyFont="1" applyBorder="1" applyAlignment="1">
      <alignment vertical="center"/>
    </xf>
    <xf numFmtId="49" fontId="12" fillId="0" borderId="18" xfId="0" applyNumberFormat="1" applyFont="1" applyBorder="1" applyAlignment="1">
      <alignment horizontal="left" vertical="center"/>
    </xf>
    <xf numFmtId="164" fontId="9" fillId="0" borderId="1" xfId="0" applyNumberFormat="1" applyFont="1" applyFill="1" applyBorder="1" applyAlignment="1" applyProtection="1">
      <alignment vertical="center"/>
      <protection hidden="1"/>
    </xf>
    <xf numFmtId="164" fontId="4" fillId="0" borderId="1" xfId="0" applyNumberFormat="1" applyFont="1" applyBorder="1" applyAlignment="1" applyProtection="1">
      <alignment vertical="center"/>
      <protection hidden="1"/>
    </xf>
    <xf numFmtId="44" fontId="4" fillId="0" borderId="1" xfId="0" applyNumberFormat="1" applyFont="1" applyBorder="1" applyAlignment="1" applyProtection="1">
      <alignment vertical="center"/>
      <protection hidden="1"/>
    </xf>
    <xf numFmtId="164" fontId="4" fillId="0" borderId="1" xfId="0" applyNumberFormat="1" applyFont="1" applyFill="1" applyBorder="1" applyAlignment="1" applyProtection="1">
      <alignment vertical="center"/>
      <protection hidden="1"/>
    </xf>
    <xf numFmtId="164" fontId="4" fillId="0" borderId="2" xfId="0" applyNumberFormat="1" applyFont="1" applyBorder="1" applyAlignment="1" applyProtection="1">
      <alignment horizontal="center" vertical="center"/>
      <protection hidden="1"/>
    </xf>
    <xf numFmtId="164" fontId="4" fillId="0" borderId="3" xfId="0" applyNumberFormat="1" applyFont="1" applyBorder="1" applyAlignment="1" applyProtection="1">
      <alignment horizontal="center" vertical="center"/>
      <protection hidden="1"/>
    </xf>
    <xf numFmtId="49" fontId="2"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8" borderId="0" xfId="0" applyNumberFormat="1"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49" fontId="3" fillId="0" borderId="5"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3" fillId="6" borderId="1" xfId="0" applyFont="1" applyFill="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49" fontId="3" fillId="0" borderId="5" xfId="0" applyNumberFormat="1" applyFont="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44" fontId="4" fillId="0" borderId="4" xfId="0" applyNumberFormat="1" applyFont="1" applyFill="1" applyBorder="1" applyAlignment="1" applyProtection="1">
      <alignment horizontal="center" vertical="center"/>
      <protection hidden="1"/>
    </xf>
    <xf numFmtId="0" fontId="5" fillId="0" borderId="0" xfId="0" applyFont="1" applyFill="1" applyAlignment="1">
      <alignment horizontal="left" vertical="center"/>
    </xf>
    <xf numFmtId="0" fontId="5" fillId="0" borderId="23" xfId="0" applyFont="1" applyFill="1" applyBorder="1" applyAlignment="1">
      <alignment horizontal="left" vertical="center"/>
    </xf>
    <xf numFmtId="44" fontId="3" fillId="0" borderId="14" xfId="0" applyNumberFormat="1" applyFont="1" applyFill="1" applyBorder="1" applyAlignment="1" applyProtection="1">
      <alignment horizontal="center" vertical="center"/>
      <protection hidden="1"/>
    </xf>
    <xf numFmtId="44" fontId="3" fillId="0" borderId="15" xfId="0" applyNumberFormat="1" applyFont="1" applyFill="1" applyBorder="1" applyAlignment="1" applyProtection="1">
      <alignment horizontal="center" vertical="center"/>
      <protection hidden="1"/>
    </xf>
    <xf numFmtId="44" fontId="3" fillId="0" borderId="16" xfId="0" applyNumberFormat="1" applyFont="1" applyFill="1" applyBorder="1" applyAlignment="1" applyProtection="1">
      <alignment horizontal="center" vertical="center"/>
      <protection hidden="1"/>
    </xf>
    <xf numFmtId="44" fontId="3" fillId="0" borderId="17" xfId="0" applyNumberFormat="1" applyFont="1" applyFill="1" applyBorder="1" applyAlignment="1" applyProtection="1">
      <alignment horizontal="center" vertical="center"/>
      <protection hidden="1"/>
    </xf>
    <xf numFmtId="0" fontId="5" fillId="3" borderId="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2" fontId="9" fillId="2" borderId="2" xfId="0" applyNumberFormat="1" applyFont="1" applyFill="1" applyBorder="1" applyAlignment="1" applyProtection="1">
      <alignment horizontal="center" vertical="center"/>
      <protection locked="0"/>
    </xf>
    <xf numFmtId="2" fontId="9" fillId="2" borderId="3" xfId="0" applyNumberFormat="1" applyFont="1" applyFill="1" applyBorder="1" applyAlignment="1" applyProtection="1">
      <alignment horizontal="center" vertical="center"/>
      <protection locked="0"/>
    </xf>
    <xf numFmtId="49" fontId="3" fillId="0" borderId="0" xfId="0" applyNumberFormat="1" applyFont="1" applyFill="1" applyAlignment="1">
      <alignment horizontal="left" vertical="center"/>
    </xf>
    <xf numFmtId="0" fontId="4" fillId="0" borderId="0" xfId="0" applyFont="1" applyAlignment="1">
      <alignment horizontal="left" vertical="center" wrapText="1"/>
    </xf>
    <xf numFmtId="44" fontId="4" fillId="0" borderId="2" xfId="0" applyNumberFormat="1" applyFont="1" applyBorder="1" applyAlignment="1" applyProtection="1">
      <alignment horizontal="center" vertical="center"/>
      <protection hidden="1"/>
    </xf>
    <xf numFmtId="44" fontId="4" fillId="0" borderId="3" xfId="0" applyNumberFormat="1" applyFont="1" applyBorder="1" applyAlignment="1" applyProtection="1">
      <alignment horizontal="center" vertical="center"/>
      <protection hidden="1"/>
    </xf>
    <xf numFmtId="49" fontId="13" fillId="2" borderId="9"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12"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49" fontId="13" fillId="2" borderId="13" xfId="0" applyNumberFormat="1" applyFont="1" applyFill="1" applyBorder="1" applyAlignment="1" applyProtection="1">
      <alignment horizontal="left" vertical="center"/>
      <protection locked="0"/>
    </xf>
    <xf numFmtId="0" fontId="11" fillId="0" borderId="0" xfId="0" applyFont="1" applyFill="1" applyBorder="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vertical="center" wrapText="1"/>
    </xf>
    <xf numFmtId="10" fontId="3" fillId="2" borderId="2" xfId="0" applyNumberFormat="1" applyFont="1" applyFill="1" applyBorder="1" applyAlignment="1" applyProtection="1">
      <alignment horizontal="center" vertical="center"/>
      <protection locked="0"/>
    </xf>
    <xf numFmtId="10" fontId="3" fillId="2" borderId="3" xfId="0" applyNumberFormat="1" applyFont="1" applyFill="1" applyBorder="1" applyAlignment="1" applyProtection="1">
      <alignment horizontal="center" vertical="center"/>
      <protection locked="0"/>
    </xf>
    <xf numFmtId="164" fontId="4" fillId="0" borderId="4"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44" fontId="3" fillId="0" borderId="4" xfId="0" applyNumberFormat="1" applyFont="1" applyBorder="1" applyAlignment="1" applyProtection="1">
      <alignment horizontal="center" vertical="center"/>
      <protection hidden="1"/>
    </xf>
    <xf numFmtId="0" fontId="3" fillId="0" borderId="0" xfId="0" applyFont="1" applyFill="1" applyAlignment="1">
      <alignment horizontal="left" vertical="center" wrapText="1"/>
    </xf>
    <xf numFmtId="0" fontId="5" fillId="3" borderId="2"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5" xfId="0" applyNumberFormat="1" applyFont="1" applyFill="1" applyBorder="1" applyAlignment="1">
      <alignment horizontal="left" vertical="center"/>
    </xf>
    <xf numFmtId="49" fontId="3" fillId="0" borderId="6" xfId="0" applyNumberFormat="1" applyFont="1" applyBorder="1" applyAlignment="1">
      <alignment horizontal="left" vertical="center"/>
    </xf>
    <xf numFmtId="164" fontId="4" fillId="0" borderId="5" xfId="0" applyNumberFormat="1" applyFont="1" applyBorder="1" applyAlignment="1" applyProtection="1">
      <alignment horizontal="center" vertical="center"/>
      <protection hidden="1"/>
    </xf>
    <xf numFmtId="164" fontId="4" fillId="0" borderId="6" xfId="0" applyNumberFormat="1" applyFont="1" applyBorder="1" applyAlignment="1" applyProtection="1">
      <alignment horizontal="center" vertical="center"/>
      <protection hidden="1"/>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5" xfId="1" applyNumberFormat="1" applyFont="1" applyFill="1" applyBorder="1" applyAlignment="1">
      <alignment horizontal="left" vertical="center" wrapText="1"/>
    </xf>
    <xf numFmtId="43" fontId="3" fillId="0" borderId="6" xfId="1"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3" fillId="0" borderId="2" xfId="0" applyNumberFormat="1" applyFont="1" applyBorder="1" applyAlignment="1">
      <alignment horizontal="center" vertical="center"/>
    </xf>
    <xf numFmtId="44" fontId="3" fillId="0" borderId="2" xfId="0" applyNumberFormat="1" applyFont="1" applyBorder="1" applyAlignment="1" applyProtection="1">
      <alignment horizontal="center" vertical="center"/>
      <protection hidden="1"/>
    </xf>
    <xf numFmtId="44" fontId="3" fillId="0" borderId="3" xfId="0" applyNumberFormat="1" applyFont="1" applyBorder="1" applyAlignment="1" applyProtection="1">
      <alignment horizontal="center" vertical="center"/>
      <protection hidden="1"/>
    </xf>
    <xf numFmtId="0" fontId="3" fillId="0" borderId="2" xfId="0" applyFont="1" applyBorder="1" applyAlignment="1">
      <alignment horizontal="center" vertical="center"/>
    </xf>
    <xf numFmtId="49" fontId="3" fillId="0" borderId="0" xfId="1" applyNumberFormat="1" applyFont="1" applyFill="1" applyAlignment="1">
      <alignment horizontal="left" vertical="center" wrapText="1"/>
    </xf>
    <xf numFmtId="164" fontId="3" fillId="0" borderId="2" xfId="0" applyNumberFormat="1" applyFont="1" applyBorder="1" applyAlignment="1" applyProtection="1">
      <alignment horizontal="center" vertical="center"/>
      <protection hidden="1"/>
    </xf>
    <xf numFmtId="164" fontId="3" fillId="0" borderId="3" xfId="0" applyNumberFormat="1" applyFont="1" applyBorder="1" applyAlignment="1" applyProtection="1">
      <alignment horizontal="center" vertical="center"/>
      <protection hidden="1"/>
    </xf>
    <xf numFmtId="0" fontId="2" fillId="0" borderId="0" xfId="0" applyFont="1" applyFill="1" applyAlignment="1">
      <alignment horizontal="left" vertical="center" wrapText="1"/>
    </xf>
    <xf numFmtId="49" fontId="9" fillId="0" borderId="0" xfId="1" applyNumberFormat="1" applyFont="1" applyFill="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3" fontId="3" fillId="0" borderId="0" xfId="1" applyFont="1" applyAlignment="1">
      <alignment horizontal="left" vertical="center" wrapText="1"/>
    </xf>
    <xf numFmtId="49" fontId="2" fillId="0" borderId="0" xfId="1" applyNumberFormat="1" applyFont="1" applyFill="1" applyAlignment="1">
      <alignment horizontal="left" vertical="center" wrapText="1"/>
    </xf>
    <xf numFmtId="0" fontId="3" fillId="0" borderId="0" xfId="1" applyNumberFormat="1" applyFont="1" applyFill="1" applyAlignment="1">
      <alignment horizontal="left" vertical="center" wrapText="1"/>
    </xf>
    <xf numFmtId="43" fontId="3" fillId="0" borderId="0" xfId="1" applyFont="1" applyFill="1" applyAlignment="1">
      <alignment horizontal="left" vertical="center" wrapText="1"/>
    </xf>
    <xf numFmtId="0" fontId="3" fillId="0" borderId="0" xfId="0" applyFont="1" applyFill="1" applyBorder="1" applyAlignment="1">
      <alignment horizontal="left" vertical="center"/>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164" fontId="8" fillId="2" borderId="2" xfId="0" applyNumberFormat="1" applyFont="1" applyFill="1" applyBorder="1" applyAlignment="1" applyProtection="1">
      <alignment horizontal="center"/>
      <protection locked="0"/>
    </xf>
    <xf numFmtId="164" fontId="8" fillId="2" borderId="7"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10" fillId="0" borderId="0" xfId="0" applyFont="1" applyBorder="1" applyAlignment="1">
      <alignment horizontal="left"/>
    </xf>
    <xf numFmtId="44" fontId="10" fillId="0" borderId="4" xfId="0" applyNumberFormat="1" applyFont="1" applyBorder="1" applyAlignment="1" applyProtection="1">
      <alignment horizontal="center"/>
      <protection hidden="1"/>
    </xf>
    <xf numFmtId="0" fontId="12" fillId="0" borderId="0" xfId="0" applyFont="1" applyAlignment="1">
      <alignment horizontal="left"/>
    </xf>
    <xf numFmtId="0" fontId="8" fillId="0" borderId="0" xfId="0" applyFont="1" applyAlignment="1">
      <alignment horizontal="left"/>
    </xf>
    <xf numFmtId="0" fontId="12"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horizontal="left" vertical="center" wrapText="1"/>
    </xf>
    <xf numFmtId="0" fontId="10" fillId="0" borderId="0" xfId="0" applyFont="1" applyAlignment="1">
      <alignment horizontal="left" vertical="center"/>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8" fillId="0" borderId="22" xfId="0" applyFont="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8"/>
  <sheetViews>
    <sheetView showGridLines="0" showRowColHeaders="0" tabSelected="1" showRuler="0" view="pageLayout" zoomScale="82" zoomScaleNormal="100" zoomScalePageLayoutView="82" workbookViewId="0">
      <selection activeCell="D302" sqref="D302"/>
    </sheetView>
  </sheetViews>
  <sheetFormatPr defaultRowHeight="14.5" x14ac:dyDescent="0.35"/>
  <cols>
    <col min="1" max="1" width="6.1796875" customWidth="1"/>
    <col min="2" max="2" width="73" customWidth="1"/>
    <col min="3" max="3" width="32" customWidth="1"/>
    <col min="4" max="5" width="17.54296875" customWidth="1"/>
    <col min="6" max="6" width="21.453125" customWidth="1"/>
    <col min="7" max="7" width="25.1796875" customWidth="1"/>
  </cols>
  <sheetData>
    <row r="1" spans="1:7" x14ac:dyDescent="0.35">
      <c r="A1" s="123" t="s">
        <v>76</v>
      </c>
      <c r="B1" s="123"/>
      <c r="C1" s="123"/>
      <c r="D1" s="123"/>
      <c r="E1" s="123"/>
      <c r="F1" s="123"/>
      <c r="G1" s="123"/>
    </row>
    <row r="2" spans="1:7" x14ac:dyDescent="0.35">
      <c r="A2" s="41"/>
      <c r="B2" s="41"/>
      <c r="C2" s="41"/>
      <c r="D2" s="41"/>
      <c r="E2" s="41"/>
      <c r="F2" s="41"/>
      <c r="G2" s="41"/>
    </row>
    <row r="3" spans="1:7" ht="14.5" customHeight="1" x14ac:dyDescent="0.35">
      <c r="A3" s="136" t="s">
        <v>186</v>
      </c>
      <c r="B3" s="136"/>
      <c r="C3" s="136"/>
      <c r="D3" s="136"/>
      <c r="E3" s="136"/>
      <c r="F3" s="136"/>
      <c r="G3" s="136"/>
    </row>
    <row r="4" spans="1:7" ht="15" customHeight="1" x14ac:dyDescent="0.35">
      <c r="A4" s="34"/>
      <c r="B4" s="34"/>
      <c r="C4" s="34"/>
      <c r="D4" s="34"/>
      <c r="E4" s="34"/>
      <c r="F4" s="34"/>
      <c r="G4" s="34"/>
    </row>
    <row r="5" spans="1:7" ht="15" customHeight="1" x14ac:dyDescent="0.35">
      <c r="A5" s="179" t="s">
        <v>129</v>
      </c>
      <c r="B5" s="179"/>
      <c r="C5" s="179"/>
      <c r="D5" s="179"/>
      <c r="E5" s="179"/>
      <c r="F5" s="179"/>
      <c r="G5" s="179"/>
    </row>
    <row r="6" spans="1:7" ht="15" customHeight="1" x14ac:dyDescent="0.35">
      <c r="A6" s="12"/>
      <c r="B6" s="12"/>
      <c r="C6" s="12"/>
      <c r="D6" s="12"/>
      <c r="E6" s="12"/>
      <c r="F6" s="12"/>
      <c r="G6" s="12"/>
    </row>
    <row r="7" spans="1:7" ht="15" customHeight="1" x14ac:dyDescent="0.35">
      <c r="A7" s="126" t="s">
        <v>130</v>
      </c>
      <c r="B7" s="126"/>
      <c r="C7" s="126"/>
      <c r="D7" s="126"/>
      <c r="E7" s="126"/>
      <c r="F7" s="126"/>
      <c r="G7" s="126"/>
    </row>
    <row r="8" spans="1:7" ht="15" customHeight="1" x14ac:dyDescent="0.35">
      <c r="A8" s="126"/>
      <c r="B8" s="126"/>
      <c r="C8" s="126"/>
      <c r="D8" s="126"/>
      <c r="E8" s="126"/>
      <c r="F8" s="126"/>
      <c r="G8" s="126"/>
    </row>
    <row r="9" spans="1:7" ht="15" customHeight="1" x14ac:dyDescent="0.35">
      <c r="A9" s="31"/>
      <c r="B9" s="31"/>
      <c r="C9" s="31"/>
      <c r="D9" s="31"/>
      <c r="E9" s="31"/>
      <c r="F9" s="31"/>
      <c r="G9" s="31"/>
    </row>
    <row r="10" spans="1:7" ht="15" customHeight="1" x14ac:dyDescent="0.35">
      <c r="A10" s="205" t="s">
        <v>136</v>
      </c>
      <c r="B10" s="205"/>
      <c r="C10" s="205"/>
      <c r="D10" s="205"/>
      <c r="E10" s="205"/>
      <c r="F10" s="205"/>
      <c r="G10" s="205"/>
    </row>
    <row r="11" spans="1:7" ht="15" customHeight="1" x14ac:dyDescent="0.35">
      <c r="A11" s="205"/>
      <c r="B11" s="205"/>
      <c r="C11" s="205"/>
      <c r="D11" s="205"/>
      <c r="E11" s="205"/>
      <c r="F11" s="205"/>
      <c r="G11" s="205"/>
    </row>
    <row r="12" spans="1:7" ht="15" customHeight="1" x14ac:dyDescent="0.35">
      <c r="A12" s="41"/>
      <c r="B12" s="41"/>
      <c r="C12" s="41"/>
      <c r="D12" s="41"/>
      <c r="E12" s="41"/>
      <c r="F12" s="41"/>
      <c r="G12" s="41"/>
    </row>
    <row r="13" spans="1:7" ht="15" customHeight="1" x14ac:dyDescent="0.35">
      <c r="A13" s="159" t="s">
        <v>0</v>
      </c>
      <c r="B13" s="159"/>
      <c r="C13" s="159"/>
      <c r="D13" s="159"/>
      <c r="E13" s="159"/>
      <c r="F13" s="159"/>
      <c r="G13" s="159"/>
    </row>
    <row r="14" spans="1:7" ht="15" customHeight="1" thickBot="1" x14ac:dyDescent="0.4">
      <c r="A14" s="41"/>
      <c r="B14" s="41"/>
      <c r="C14" s="41"/>
      <c r="D14" s="41"/>
      <c r="E14" s="41"/>
      <c r="F14" s="41"/>
      <c r="G14" s="41"/>
    </row>
    <row r="15" spans="1:7" ht="15" customHeight="1" thickBot="1" x14ac:dyDescent="0.4">
      <c r="A15" s="125" t="s">
        <v>187</v>
      </c>
      <c r="B15" s="125"/>
      <c r="C15" s="125"/>
      <c r="D15" s="125"/>
      <c r="E15" s="125"/>
      <c r="F15" s="206"/>
      <c r="G15" s="207"/>
    </row>
    <row r="16" spans="1:7" ht="15" customHeight="1" x14ac:dyDescent="0.35">
      <c r="A16" s="34"/>
      <c r="B16" s="34"/>
      <c r="C16" s="34"/>
      <c r="D16" s="34"/>
      <c r="E16" s="34"/>
      <c r="F16" s="34"/>
      <c r="G16" s="34"/>
    </row>
    <row r="17" spans="1:7" ht="15" customHeight="1" x14ac:dyDescent="0.35">
      <c r="A17" s="204" t="s">
        <v>131</v>
      </c>
      <c r="B17" s="204"/>
      <c r="C17" s="204"/>
      <c r="D17" s="204"/>
      <c r="E17" s="204"/>
      <c r="F17" s="204"/>
      <c r="G17" s="204"/>
    </row>
    <row r="18" spans="1:7" ht="15" customHeight="1" x14ac:dyDescent="0.35">
      <c r="A18" s="34"/>
      <c r="B18" s="34"/>
      <c r="C18" s="34"/>
      <c r="D18" s="34"/>
      <c r="E18" s="34"/>
      <c r="F18" s="34"/>
      <c r="G18" s="34"/>
    </row>
    <row r="19" spans="1:7" ht="15" customHeight="1" x14ac:dyDescent="0.35">
      <c r="A19" s="179" t="s">
        <v>132</v>
      </c>
      <c r="B19" s="179"/>
      <c r="C19" s="179"/>
      <c r="D19" s="179"/>
      <c r="E19" s="179"/>
      <c r="F19" s="179"/>
      <c r="G19" s="179"/>
    </row>
    <row r="20" spans="1:7" ht="15" customHeight="1" x14ac:dyDescent="0.35">
      <c r="A20" s="179"/>
      <c r="B20" s="179"/>
      <c r="C20" s="179"/>
      <c r="D20" s="179"/>
      <c r="E20" s="179"/>
      <c r="F20" s="179"/>
      <c r="G20" s="179"/>
    </row>
    <row r="21" spans="1:7" ht="15" customHeight="1" x14ac:dyDescent="0.35">
      <c r="A21" s="34"/>
      <c r="B21" s="34"/>
      <c r="C21" s="34"/>
      <c r="D21" s="34"/>
      <c r="E21" s="34"/>
      <c r="F21" s="34"/>
      <c r="G21" s="34"/>
    </row>
    <row r="22" spans="1:7" ht="15" customHeight="1" x14ac:dyDescent="0.35">
      <c r="A22" s="126" t="s">
        <v>133</v>
      </c>
      <c r="B22" s="126"/>
      <c r="C22" s="126"/>
      <c r="D22" s="126"/>
      <c r="E22" s="126"/>
      <c r="F22" s="126"/>
      <c r="G22" s="126"/>
    </row>
    <row r="23" spans="1:7" ht="15" customHeight="1" x14ac:dyDescent="0.35">
      <c r="A23" s="34"/>
      <c r="B23" s="34"/>
      <c r="C23" s="34"/>
      <c r="D23" s="34"/>
      <c r="E23" s="34"/>
      <c r="F23" s="34"/>
      <c r="G23" s="34"/>
    </row>
    <row r="24" spans="1:7" ht="15" customHeight="1" x14ac:dyDescent="0.35">
      <c r="A24" s="179" t="s">
        <v>328</v>
      </c>
      <c r="B24" s="179"/>
      <c r="C24" s="179"/>
      <c r="D24" s="179"/>
      <c r="E24" s="179"/>
      <c r="F24" s="179"/>
      <c r="G24" s="179"/>
    </row>
    <row r="25" spans="1:7" ht="15" customHeight="1" x14ac:dyDescent="0.35">
      <c r="A25" s="179"/>
      <c r="B25" s="179"/>
      <c r="C25" s="179"/>
      <c r="D25" s="179"/>
      <c r="E25" s="179"/>
      <c r="F25" s="179"/>
      <c r="G25" s="179"/>
    </row>
    <row r="26" spans="1:7" ht="15" customHeight="1" x14ac:dyDescent="0.35">
      <c r="A26" s="179"/>
      <c r="B26" s="179"/>
      <c r="C26" s="179"/>
      <c r="D26" s="179"/>
      <c r="E26" s="179"/>
      <c r="F26" s="179"/>
      <c r="G26" s="179"/>
    </row>
    <row r="27" spans="1:7" ht="15" customHeight="1" x14ac:dyDescent="0.35">
      <c r="A27" s="34"/>
      <c r="B27" s="34"/>
      <c r="C27" s="34"/>
      <c r="D27" s="34"/>
      <c r="E27" s="34"/>
      <c r="F27" s="34"/>
      <c r="G27" s="34"/>
    </row>
    <row r="28" spans="1:7" ht="15" customHeight="1" x14ac:dyDescent="0.35">
      <c r="A28" s="210" t="s">
        <v>326</v>
      </c>
      <c r="B28" s="211"/>
      <c r="C28" s="211"/>
      <c r="D28" s="211"/>
      <c r="E28" s="211"/>
      <c r="F28" s="211"/>
      <c r="G28" s="211"/>
    </row>
    <row r="29" spans="1:7" x14ac:dyDescent="0.35">
      <c r="A29" s="41"/>
      <c r="B29" s="41"/>
      <c r="C29" s="41"/>
      <c r="D29" s="41"/>
      <c r="E29" s="41"/>
      <c r="F29" s="41"/>
      <c r="G29" s="41"/>
    </row>
    <row r="30" spans="1:7" ht="15" customHeight="1" x14ac:dyDescent="0.35">
      <c r="A30" s="136" t="s">
        <v>188</v>
      </c>
      <c r="B30" s="136"/>
      <c r="C30" s="136"/>
      <c r="D30" s="136"/>
      <c r="E30" s="136"/>
      <c r="F30" s="136"/>
      <c r="G30" s="136"/>
    </row>
    <row r="31" spans="1:7" ht="14.5" customHeight="1" x14ac:dyDescent="0.35">
      <c r="A31" s="136"/>
      <c r="B31" s="136"/>
      <c r="C31" s="136"/>
      <c r="D31" s="136"/>
      <c r="E31" s="136"/>
      <c r="F31" s="136"/>
      <c r="G31" s="136"/>
    </row>
    <row r="32" spans="1:7" ht="14.5" customHeight="1" x14ac:dyDescent="0.35">
      <c r="A32" s="12"/>
      <c r="B32" s="12"/>
      <c r="C32" s="12"/>
      <c r="D32" s="12"/>
      <c r="E32" s="12"/>
      <c r="F32" s="12"/>
      <c r="G32" s="12"/>
    </row>
    <row r="33" spans="1:7" ht="14.5" customHeight="1" x14ac:dyDescent="0.35">
      <c r="A33" s="204" t="s">
        <v>134</v>
      </c>
      <c r="B33" s="204"/>
      <c r="C33" s="204"/>
      <c r="D33" s="204"/>
      <c r="E33" s="204"/>
      <c r="F33" s="204"/>
      <c r="G33" s="204"/>
    </row>
    <row r="34" spans="1:7" x14ac:dyDescent="0.35">
      <c r="A34" s="41"/>
      <c r="B34" s="41"/>
      <c r="C34" s="41"/>
      <c r="D34" s="41"/>
      <c r="E34" s="41"/>
      <c r="F34" s="41"/>
      <c r="G34" s="41"/>
    </row>
    <row r="35" spans="1:7" x14ac:dyDescent="0.35">
      <c r="A35" s="124" t="s">
        <v>135</v>
      </c>
      <c r="B35" s="124"/>
      <c r="C35" s="124"/>
      <c r="D35" s="124"/>
      <c r="E35" s="124"/>
      <c r="F35" s="124"/>
      <c r="G35" s="124"/>
    </row>
    <row r="36" spans="1:7" x14ac:dyDescent="0.35">
      <c r="A36" s="41"/>
      <c r="B36" s="41"/>
      <c r="C36" s="41"/>
      <c r="D36" s="41"/>
      <c r="E36" s="41"/>
      <c r="F36" s="41"/>
      <c r="G36" s="41"/>
    </row>
    <row r="37" spans="1:7" x14ac:dyDescent="0.35">
      <c r="A37" s="124" t="s">
        <v>189</v>
      </c>
      <c r="B37" s="124"/>
      <c r="C37" s="124"/>
      <c r="D37" s="124"/>
      <c r="E37" s="124"/>
      <c r="F37" s="124"/>
      <c r="G37" s="124"/>
    </row>
    <row r="38" spans="1:7" x14ac:dyDescent="0.35">
      <c r="A38" s="41"/>
      <c r="B38" s="41"/>
      <c r="C38" s="41"/>
      <c r="D38" s="41"/>
      <c r="E38" s="41"/>
      <c r="F38" s="41"/>
      <c r="G38" s="41"/>
    </row>
    <row r="39" spans="1:7" ht="14.5" customHeight="1" x14ac:dyDescent="0.35">
      <c r="A39" s="208" t="s">
        <v>158</v>
      </c>
      <c r="B39" s="208"/>
      <c r="C39" s="208"/>
      <c r="D39" s="208"/>
      <c r="E39" s="208"/>
      <c r="F39" s="208"/>
      <c r="G39" s="208"/>
    </row>
    <row r="40" spans="1:7" ht="14.5" customHeight="1" x14ac:dyDescent="0.35">
      <c r="A40" s="36"/>
      <c r="B40" s="36"/>
      <c r="C40" s="36"/>
      <c r="D40" s="36"/>
      <c r="E40" s="36"/>
      <c r="F40" s="36"/>
      <c r="G40" s="36"/>
    </row>
    <row r="41" spans="1:7" ht="14.5" customHeight="1" x14ac:dyDescent="0.35">
      <c r="A41" s="201" t="s">
        <v>190</v>
      </c>
      <c r="B41" s="201"/>
      <c r="C41" s="201"/>
      <c r="D41" s="201"/>
      <c r="E41" s="201"/>
      <c r="F41" s="201"/>
      <c r="G41" s="201"/>
    </row>
    <row r="42" spans="1:7" ht="15" customHeight="1" x14ac:dyDescent="0.35">
      <c r="A42" s="201"/>
      <c r="B42" s="201"/>
      <c r="C42" s="201"/>
      <c r="D42" s="201"/>
      <c r="E42" s="201"/>
      <c r="F42" s="201"/>
      <c r="G42" s="201"/>
    </row>
    <row r="43" spans="1:7" ht="15" customHeight="1" x14ac:dyDescent="0.35">
      <c r="A43" s="27"/>
      <c r="B43" s="27"/>
      <c r="C43" s="27"/>
      <c r="D43" s="27"/>
      <c r="E43" s="27"/>
      <c r="F43" s="27"/>
      <c r="G43" s="27"/>
    </row>
    <row r="44" spans="1:7" ht="15" customHeight="1" x14ac:dyDescent="0.35">
      <c r="A44" s="209" t="s">
        <v>521</v>
      </c>
      <c r="B44" s="209"/>
      <c r="C44" s="209"/>
      <c r="D44" s="209"/>
      <c r="E44" s="209"/>
      <c r="F44" s="209"/>
      <c r="G44" s="209"/>
    </row>
    <row r="45" spans="1:7" ht="15" customHeight="1" x14ac:dyDescent="0.35">
      <c r="A45" s="27"/>
      <c r="B45" s="27"/>
      <c r="C45" s="27"/>
      <c r="D45" s="27"/>
      <c r="E45" s="27"/>
      <c r="F45" s="27"/>
      <c r="G45" s="27"/>
    </row>
    <row r="46" spans="1:7" ht="15" customHeight="1" x14ac:dyDescent="0.35">
      <c r="A46" s="201" t="s">
        <v>522</v>
      </c>
      <c r="B46" s="201"/>
      <c r="C46" s="201"/>
      <c r="D46" s="201"/>
      <c r="E46" s="201"/>
      <c r="F46" s="201"/>
      <c r="G46" s="201"/>
    </row>
    <row r="47" spans="1:7" ht="15" customHeight="1" x14ac:dyDescent="0.35">
      <c r="A47" s="201"/>
      <c r="B47" s="201"/>
      <c r="C47" s="201"/>
      <c r="D47" s="201"/>
      <c r="E47" s="201"/>
      <c r="F47" s="201"/>
      <c r="G47" s="201"/>
    </row>
    <row r="48" spans="1:7" ht="15" customHeight="1" x14ac:dyDescent="0.35">
      <c r="A48" s="27"/>
      <c r="B48" s="27"/>
      <c r="C48" s="27"/>
      <c r="D48" s="27"/>
      <c r="E48" s="27"/>
      <c r="F48" s="27"/>
      <c r="G48" s="27"/>
    </row>
    <row r="49" spans="1:7" ht="15" customHeight="1" x14ac:dyDescent="0.35">
      <c r="A49" s="201" t="s">
        <v>523</v>
      </c>
      <c r="B49" s="201"/>
      <c r="C49" s="201"/>
      <c r="D49" s="201"/>
      <c r="E49" s="201"/>
      <c r="F49" s="201"/>
      <c r="G49" s="201"/>
    </row>
    <row r="50" spans="1:7" ht="15" customHeight="1" x14ac:dyDescent="0.35">
      <c r="A50" s="27"/>
      <c r="B50" s="27"/>
      <c r="C50" s="27"/>
      <c r="D50" s="27"/>
      <c r="E50" s="27"/>
      <c r="F50" s="27"/>
      <c r="G50" s="27"/>
    </row>
    <row r="51" spans="1:7" ht="15" customHeight="1" x14ac:dyDescent="0.35">
      <c r="A51" s="201" t="s">
        <v>524</v>
      </c>
      <c r="B51" s="201"/>
      <c r="C51" s="201"/>
      <c r="D51" s="201"/>
      <c r="E51" s="201"/>
      <c r="F51" s="201"/>
      <c r="G51" s="201"/>
    </row>
    <row r="52" spans="1:7" ht="15" customHeight="1" x14ac:dyDescent="0.35">
      <c r="A52" s="27"/>
      <c r="B52" s="27"/>
      <c r="C52" s="27"/>
      <c r="D52" s="27"/>
      <c r="E52" s="27"/>
      <c r="F52" s="27"/>
      <c r="G52" s="27"/>
    </row>
    <row r="53" spans="1:7" ht="15" customHeight="1" x14ac:dyDescent="0.35">
      <c r="A53" s="201" t="s">
        <v>525</v>
      </c>
      <c r="B53" s="201"/>
      <c r="C53" s="201"/>
      <c r="D53" s="201"/>
      <c r="E53" s="201"/>
      <c r="F53" s="201"/>
      <c r="G53" s="201"/>
    </row>
    <row r="54" spans="1:7" ht="15" customHeight="1" x14ac:dyDescent="0.35">
      <c r="A54" s="201"/>
      <c r="B54" s="201"/>
      <c r="C54" s="201"/>
      <c r="D54" s="201"/>
      <c r="E54" s="201"/>
      <c r="F54" s="201"/>
      <c r="G54" s="201"/>
    </row>
    <row r="55" spans="1:7" ht="15" customHeight="1" x14ac:dyDescent="0.35">
      <c r="A55" s="27"/>
      <c r="B55" s="27"/>
      <c r="C55" s="27"/>
      <c r="D55" s="27"/>
      <c r="E55" s="27"/>
      <c r="F55" s="27"/>
      <c r="G55" s="27"/>
    </row>
    <row r="56" spans="1:7" ht="15" customHeight="1" x14ac:dyDescent="0.35">
      <c r="A56" s="201" t="s">
        <v>526</v>
      </c>
      <c r="B56" s="201"/>
      <c r="C56" s="201"/>
      <c r="D56" s="201"/>
      <c r="E56" s="201"/>
      <c r="F56" s="201"/>
      <c r="G56" s="201"/>
    </row>
    <row r="57" spans="1:7" ht="15" customHeight="1" x14ac:dyDescent="0.35">
      <c r="A57" s="13"/>
      <c r="B57" s="13"/>
      <c r="C57" s="13"/>
      <c r="D57" s="13"/>
      <c r="E57" s="13"/>
      <c r="F57" s="13"/>
      <c r="G57" s="13"/>
    </row>
    <row r="58" spans="1:7" x14ac:dyDescent="0.35">
      <c r="A58" s="127" t="s">
        <v>77</v>
      </c>
      <c r="B58" s="127"/>
      <c r="C58" s="127"/>
      <c r="D58" s="127"/>
      <c r="E58" s="127"/>
      <c r="F58" s="127"/>
      <c r="G58" s="127"/>
    </row>
    <row r="59" spans="1:7" x14ac:dyDescent="0.35">
      <c r="A59" s="41"/>
      <c r="B59" s="41"/>
      <c r="C59" s="41"/>
      <c r="D59" s="41"/>
      <c r="E59" s="41"/>
      <c r="F59" s="41"/>
      <c r="G59" s="41"/>
    </row>
    <row r="60" spans="1:7" x14ac:dyDescent="0.35">
      <c r="A60" s="127" t="s">
        <v>191</v>
      </c>
      <c r="B60" s="127"/>
      <c r="C60" s="127"/>
      <c r="D60" s="127"/>
      <c r="E60" s="127"/>
      <c r="F60" s="127"/>
      <c r="G60" s="127"/>
    </row>
    <row r="61" spans="1:7" x14ac:dyDescent="0.35">
      <c r="A61" s="41"/>
      <c r="B61" s="41"/>
      <c r="C61" s="41"/>
      <c r="D61" s="41"/>
      <c r="E61" s="41"/>
      <c r="F61" s="41"/>
      <c r="G61" s="41"/>
    </row>
    <row r="62" spans="1:7" ht="14.5" customHeight="1" x14ac:dyDescent="0.35">
      <c r="A62" s="179" t="s">
        <v>192</v>
      </c>
      <c r="B62" s="179"/>
      <c r="C62" s="179"/>
      <c r="D62" s="179"/>
      <c r="E62" s="179"/>
      <c r="F62" s="179"/>
      <c r="G62" s="179"/>
    </row>
    <row r="63" spans="1:7" ht="14.5" customHeight="1" x14ac:dyDescent="0.35">
      <c r="A63" s="179"/>
      <c r="B63" s="179"/>
      <c r="C63" s="179"/>
      <c r="D63" s="179"/>
      <c r="E63" s="179"/>
      <c r="F63" s="179"/>
      <c r="G63" s="179"/>
    </row>
    <row r="64" spans="1:7" ht="15" thickBot="1" x14ac:dyDescent="0.4">
      <c r="A64" s="41"/>
      <c r="B64" s="41"/>
      <c r="C64" s="41"/>
      <c r="D64" s="41"/>
      <c r="E64" s="41"/>
      <c r="F64" s="41"/>
      <c r="G64" s="41"/>
    </row>
    <row r="65" spans="1:7" ht="15" thickBot="1" x14ac:dyDescent="0.4">
      <c r="A65" s="153" t="s">
        <v>193</v>
      </c>
      <c r="B65" s="153"/>
      <c r="C65" s="154" t="s">
        <v>1</v>
      </c>
      <c r="D65" s="155"/>
      <c r="E65" s="14" t="s">
        <v>2</v>
      </c>
      <c r="F65" s="154" t="s">
        <v>3</v>
      </c>
      <c r="G65" s="155"/>
    </row>
    <row r="66" spans="1:7" ht="15.5" thickBot="1" x14ac:dyDescent="0.4">
      <c r="A66" s="2" t="s">
        <v>4</v>
      </c>
      <c r="B66" s="2" t="s">
        <v>5</v>
      </c>
      <c r="C66" s="154" t="s">
        <v>6</v>
      </c>
      <c r="D66" s="155"/>
      <c r="E66" s="2" t="s">
        <v>7</v>
      </c>
      <c r="F66" s="154" t="s">
        <v>8</v>
      </c>
      <c r="G66" s="155"/>
    </row>
    <row r="67" spans="1:7" ht="15.75" customHeight="1" thickBot="1" x14ac:dyDescent="0.4">
      <c r="A67" s="8" t="s">
        <v>81</v>
      </c>
      <c r="B67" s="9" t="s">
        <v>195</v>
      </c>
      <c r="C67" s="9"/>
      <c r="D67" s="9"/>
      <c r="E67" s="9"/>
      <c r="F67" s="9"/>
      <c r="G67" s="10"/>
    </row>
    <row r="68" spans="1:7" ht="15" thickBot="1" x14ac:dyDescent="0.4">
      <c r="A68" s="42">
        <v>1.1000000000000001</v>
      </c>
      <c r="B68" s="43" t="s">
        <v>9</v>
      </c>
      <c r="C68" s="129" t="s">
        <v>10</v>
      </c>
      <c r="D68" s="130"/>
      <c r="E68" s="83"/>
      <c r="F68" s="117">
        <f>E68*1</f>
        <v>0</v>
      </c>
      <c r="G68" s="118"/>
    </row>
    <row r="69" spans="1:7" ht="15" thickBot="1" x14ac:dyDescent="0.4">
      <c r="A69" s="42">
        <v>1.2</v>
      </c>
      <c r="B69" s="43" t="s">
        <v>11</v>
      </c>
      <c r="C69" s="129" t="s">
        <v>10</v>
      </c>
      <c r="D69" s="130"/>
      <c r="E69" s="83"/>
      <c r="F69" s="117">
        <f>E69*1</f>
        <v>0</v>
      </c>
      <c r="G69" s="118"/>
    </row>
    <row r="70" spans="1:7" ht="15" thickBot="1" x14ac:dyDescent="0.4">
      <c r="A70" s="44" t="s">
        <v>80</v>
      </c>
      <c r="B70" s="45" t="s">
        <v>197</v>
      </c>
      <c r="C70" s="137"/>
      <c r="D70" s="138"/>
      <c r="E70" s="46"/>
      <c r="F70" s="137"/>
      <c r="G70" s="139"/>
    </row>
    <row r="71" spans="1:7" ht="15" thickBot="1" x14ac:dyDescent="0.4">
      <c r="A71" s="42">
        <v>2.1</v>
      </c>
      <c r="B71" s="43" t="s">
        <v>9</v>
      </c>
      <c r="C71" s="129" t="s">
        <v>10</v>
      </c>
      <c r="D71" s="130"/>
      <c r="E71" s="84"/>
      <c r="F71" s="160">
        <f>E71*1</f>
        <v>0</v>
      </c>
      <c r="G71" s="161"/>
    </row>
    <row r="72" spans="1:7" ht="15" thickBot="1" x14ac:dyDescent="0.4">
      <c r="A72" s="42">
        <v>2.2000000000000002</v>
      </c>
      <c r="B72" s="43" t="s">
        <v>11</v>
      </c>
      <c r="C72" s="129" t="s">
        <v>10</v>
      </c>
      <c r="D72" s="130"/>
      <c r="E72" s="84"/>
      <c r="F72" s="160">
        <f>E72*1</f>
        <v>0</v>
      </c>
      <c r="G72" s="161"/>
    </row>
    <row r="73" spans="1:7" ht="15" thickBot="1" x14ac:dyDescent="0.4">
      <c r="A73" s="47" t="s">
        <v>82</v>
      </c>
      <c r="B73" s="45" t="s">
        <v>199</v>
      </c>
      <c r="C73" s="46"/>
      <c r="D73" s="46"/>
      <c r="E73" s="46"/>
      <c r="F73" s="137"/>
      <c r="G73" s="139"/>
    </row>
    <row r="74" spans="1:7" ht="15" thickBot="1" x14ac:dyDescent="0.4">
      <c r="A74" s="42">
        <v>3.1</v>
      </c>
      <c r="B74" s="43" t="s">
        <v>9</v>
      </c>
      <c r="C74" s="129" t="s">
        <v>10</v>
      </c>
      <c r="D74" s="130"/>
      <c r="E74" s="85"/>
      <c r="F74" s="160">
        <f>E74*1</f>
        <v>0</v>
      </c>
      <c r="G74" s="161"/>
    </row>
    <row r="75" spans="1:7" ht="15" thickBot="1" x14ac:dyDescent="0.4">
      <c r="A75" s="42">
        <v>3.2</v>
      </c>
      <c r="B75" s="43" t="s">
        <v>11</v>
      </c>
      <c r="C75" s="129" t="s">
        <v>10</v>
      </c>
      <c r="D75" s="130"/>
      <c r="E75" s="84"/>
      <c r="F75" s="160">
        <f>E75*1</f>
        <v>0</v>
      </c>
      <c r="G75" s="161"/>
    </row>
    <row r="76" spans="1:7" x14ac:dyDescent="0.35">
      <c r="A76" s="41"/>
      <c r="B76" s="41"/>
      <c r="C76" s="41"/>
      <c r="D76" s="41"/>
      <c r="E76" s="41"/>
      <c r="F76" s="41"/>
      <c r="G76" s="41"/>
    </row>
    <row r="77" spans="1:7" x14ac:dyDescent="0.35">
      <c r="A77" s="145" t="s">
        <v>373</v>
      </c>
      <c r="B77" s="145"/>
      <c r="C77" s="145"/>
      <c r="D77" s="145"/>
      <c r="E77" s="145"/>
      <c r="F77" s="146">
        <f>SUM(F68:G69,F71:G72,F74:G75)</f>
        <v>0</v>
      </c>
      <c r="G77" s="146"/>
    </row>
    <row r="78" spans="1:7" x14ac:dyDescent="0.35">
      <c r="A78" s="41"/>
      <c r="B78" s="41"/>
      <c r="C78" s="41"/>
      <c r="D78" s="41"/>
      <c r="E78" s="41"/>
      <c r="F78" s="41"/>
      <c r="G78" s="41"/>
    </row>
    <row r="79" spans="1:7" x14ac:dyDescent="0.35">
      <c r="A79" s="123" t="s">
        <v>78</v>
      </c>
      <c r="B79" s="123"/>
      <c r="C79" s="123"/>
      <c r="D79" s="123"/>
      <c r="E79" s="123"/>
      <c r="F79" s="123"/>
      <c r="G79" s="123"/>
    </row>
    <row r="80" spans="1:7" x14ac:dyDescent="0.35">
      <c r="A80" s="48"/>
      <c r="B80" s="48"/>
      <c r="C80" s="48"/>
      <c r="D80" s="48"/>
      <c r="E80" s="48"/>
      <c r="F80" s="48"/>
      <c r="G80" s="48"/>
    </row>
    <row r="81" spans="1:7" x14ac:dyDescent="0.35">
      <c r="A81" s="124" t="s">
        <v>83</v>
      </c>
      <c r="B81" s="124"/>
      <c r="C81" s="124"/>
      <c r="D81" s="124"/>
      <c r="E81" s="124"/>
      <c r="F81" s="124"/>
      <c r="G81" s="124"/>
    </row>
    <row r="82" spans="1:7" x14ac:dyDescent="0.35">
      <c r="A82" s="35"/>
      <c r="B82" s="35"/>
      <c r="C82" s="35"/>
      <c r="D82" s="35"/>
      <c r="E82" s="35"/>
      <c r="F82" s="35"/>
      <c r="G82" s="35"/>
    </row>
    <row r="83" spans="1:7" x14ac:dyDescent="0.35">
      <c r="A83" s="144" t="s">
        <v>137</v>
      </c>
      <c r="B83" s="144"/>
      <c r="C83" s="144"/>
      <c r="D83" s="144"/>
      <c r="E83" s="144"/>
      <c r="F83" s="144"/>
      <c r="G83" s="144"/>
    </row>
    <row r="84" spans="1:7" x14ac:dyDescent="0.35">
      <c r="A84" s="41"/>
      <c r="B84" s="41"/>
      <c r="C84" s="41"/>
      <c r="D84" s="41"/>
      <c r="E84" s="41"/>
      <c r="F84" s="41"/>
      <c r="G84" s="41"/>
    </row>
    <row r="85" spans="1:7" x14ac:dyDescent="0.35">
      <c r="A85" s="127" t="s">
        <v>79</v>
      </c>
      <c r="B85" s="128"/>
      <c r="C85" s="128"/>
      <c r="D85" s="128"/>
      <c r="E85" s="128"/>
      <c r="F85" s="128"/>
      <c r="G85" s="128"/>
    </row>
    <row r="86" spans="1:7" x14ac:dyDescent="0.35">
      <c r="A86" s="41"/>
      <c r="B86" s="41"/>
      <c r="C86" s="41"/>
      <c r="D86" s="41"/>
      <c r="E86" s="41"/>
      <c r="F86" s="41"/>
      <c r="G86" s="41"/>
    </row>
    <row r="87" spans="1:7" x14ac:dyDescent="0.35">
      <c r="A87" s="127" t="s">
        <v>200</v>
      </c>
      <c r="B87" s="128"/>
      <c r="C87" s="128"/>
      <c r="D87" s="128"/>
      <c r="E87" s="128"/>
      <c r="F87" s="128"/>
      <c r="G87" s="128"/>
    </row>
    <row r="88" spans="1:7" x14ac:dyDescent="0.35">
      <c r="A88" s="41"/>
      <c r="B88" s="41"/>
      <c r="C88" s="41"/>
      <c r="D88" s="41"/>
      <c r="E88" s="41"/>
      <c r="F88" s="41"/>
      <c r="G88" s="41"/>
    </row>
    <row r="89" spans="1:7" x14ac:dyDescent="0.35">
      <c r="A89" s="128" t="s">
        <v>201</v>
      </c>
      <c r="B89" s="127"/>
      <c r="C89" s="127"/>
      <c r="D89" s="127"/>
      <c r="E89" s="127"/>
      <c r="F89" s="127"/>
      <c r="G89" s="127"/>
    </row>
    <row r="90" spans="1:7" ht="15" thickBot="1" x14ac:dyDescent="0.4">
      <c r="A90" s="41"/>
      <c r="B90" s="41"/>
      <c r="C90" s="41"/>
      <c r="D90" s="41"/>
      <c r="E90" s="41"/>
      <c r="F90" s="41"/>
      <c r="G90" s="41"/>
    </row>
    <row r="91" spans="1:7" ht="15" thickBot="1" x14ac:dyDescent="0.4">
      <c r="A91" s="153" t="s">
        <v>193</v>
      </c>
      <c r="B91" s="153"/>
      <c r="C91" s="154" t="s">
        <v>1</v>
      </c>
      <c r="D91" s="155"/>
      <c r="E91" s="14" t="s">
        <v>2</v>
      </c>
      <c r="F91" s="154" t="s">
        <v>3</v>
      </c>
      <c r="G91" s="155"/>
    </row>
    <row r="92" spans="1:7" ht="43.5" customHeight="1" thickBot="1" x14ac:dyDescent="0.4">
      <c r="A92" s="2" t="s">
        <v>4</v>
      </c>
      <c r="B92" s="2" t="s">
        <v>5</v>
      </c>
      <c r="C92" s="154" t="s">
        <v>6</v>
      </c>
      <c r="D92" s="155"/>
      <c r="E92" s="2" t="s">
        <v>12</v>
      </c>
      <c r="F92" s="154" t="s">
        <v>8</v>
      </c>
      <c r="G92" s="155"/>
    </row>
    <row r="93" spans="1:7" ht="15.75" customHeight="1" thickBot="1" x14ac:dyDescent="0.4">
      <c r="A93" s="8" t="s">
        <v>81</v>
      </c>
      <c r="B93" s="9" t="s">
        <v>195</v>
      </c>
      <c r="C93" s="9"/>
      <c r="D93" s="9"/>
      <c r="E93" s="9"/>
      <c r="F93" s="9"/>
      <c r="G93" s="10"/>
    </row>
    <row r="94" spans="1:7" ht="15.75" customHeight="1" thickBot="1" x14ac:dyDescent="0.4">
      <c r="A94" s="3">
        <v>1.1000000000000001</v>
      </c>
      <c r="B94" s="3" t="s">
        <v>13</v>
      </c>
      <c r="C94" s="200" t="s">
        <v>84</v>
      </c>
      <c r="D94" s="139"/>
      <c r="E94" s="86"/>
      <c r="F94" s="202">
        <f>E94*105</f>
        <v>0</v>
      </c>
      <c r="G94" s="203"/>
    </row>
    <row r="95" spans="1:7" ht="15" thickBot="1" x14ac:dyDescent="0.4">
      <c r="A95" s="49">
        <v>1.2</v>
      </c>
      <c r="B95" s="43" t="s">
        <v>14</v>
      </c>
      <c r="C95" s="200" t="s">
        <v>85</v>
      </c>
      <c r="D95" s="139"/>
      <c r="E95" s="83"/>
      <c r="F95" s="202">
        <f>E95*5</f>
        <v>0</v>
      </c>
      <c r="G95" s="203"/>
    </row>
    <row r="96" spans="1:7" ht="15" thickBot="1" x14ac:dyDescent="0.4">
      <c r="A96" s="44" t="s">
        <v>80</v>
      </c>
      <c r="B96" s="45" t="s">
        <v>197</v>
      </c>
      <c r="C96" s="137"/>
      <c r="D96" s="138"/>
      <c r="E96" s="46"/>
      <c r="F96" s="137"/>
      <c r="G96" s="139"/>
    </row>
    <row r="97" spans="1:7" ht="15" thickBot="1" x14ac:dyDescent="0.4">
      <c r="A97" s="50">
        <v>2.1</v>
      </c>
      <c r="B97" s="43" t="s">
        <v>13</v>
      </c>
      <c r="C97" s="200" t="s">
        <v>86</v>
      </c>
      <c r="D97" s="139"/>
      <c r="E97" s="87"/>
      <c r="F97" s="198">
        <f>E97*20</f>
        <v>0</v>
      </c>
      <c r="G97" s="199"/>
    </row>
    <row r="98" spans="1:7" ht="15" thickBot="1" x14ac:dyDescent="0.4">
      <c r="A98" s="49">
        <v>2.2000000000000002</v>
      </c>
      <c r="B98" s="43" t="s">
        <v>14</v>
      </c>
      <c r="C98" s="197" t="s">
        <v>168</v>
      </c>
      <c r="D98" s="139"/>
      <c r="E98" s="84"/>
      <c r="F98" s="198">
        <f>E98*1</f>
        <v>0</v>
      </c>
      <c r="G98" s="199"/>
    </row>
    <row r="99" spans="1:7" ht="15" thickBot="1" x14ac:dyDescent="0.4">
      <c r="A99" s="47" t="s">
        <v>82</v>
      </c>
      <c r="B99" s="45" t="s">
        <v>199</v>
      </c>
      <c r="C99" s="46"/>
      <c r="D99" s="46"/>
      <c r="E99" s="46"/>
      <c r="F99" s="137"/>
      <c r="G99" s="139"/>
    </row>
    <row r="100" spans="1:7" ht="15" thickBot="1" x14ac:dyDescent="0.4">
      <c r="A100" s="50">
        <v>3.1</v>
      </c>
      <c r="B100" s="43" t="s">
        <v>13</v>
      </c>
      <c r="C100" s="200" t="s">
        <v>86</v>
      </c>
      <c r="D100" s="139"/>
      <c r="E100" s="87"/>
      <c r="F100" s="198">
        <f>E100*20</f>
        <v>0</v>
      </c>
      <c r="G100" s="199"/>
    </row>
    <row r="101" spans="1:7" ht="15" thickBot="1" x14ac:dyDescent="0.4">
      <c r="A101" s="49">
        <v>3.2</v>
      </c>
      <c r="B101" s="43" t="s">
        <v>14</v>
      </c>
      <c r="C101" s="197" t="s">
        <v>168</v>
      </c>
      <c r="D101" s="139"/>
      <c r="E101" s="85"/>
      <c r="F101" s="198">
        <f>E101*1</f>
        <v>0</v>
      </c>
      <c r="G101" s="199"/>
    </row>
    <row r="102" spans="1:7" x14ac:dyDescent="0.35">
      <c r="A102" s="41"/>
      <c r="B102" s="41"/>
      <c r="C102" s="41"/>
      <c r="D102" s="41"/>
      <c r="E102" s="41"/>
      <c r="F102" s="41"/>
      <c r="G102" s="41"/>
    </row>
    <row r="103" spans="1:7" x14ac:dyDescent="0.35">
      <c r="A103" s="145" t="s">
        <v>202</v>
      </c>
      <c r="B103" s="145"/>
      <c r="C103" s="145"/>
      <c r="D103" s="145"/>
      <c r="E103" s="145"/>
      <c r="F103" s="146">
        <f>SUM(F94:G95,F97:G98,F100:G101)</f>
        <v>0</v>
      </c>
      <c r="G103" s="146"/>
    </row>
    <row r="104" spans="1:7" x14ac:dyDescent="0.35">
      <c r="A104" s="41"/>
      <c r="B104" s="41"/>
      <c r="C104" s="41"/>
      <c r="D104" s="41"/>
      <c r="E104" s="41"/>
      <c r="F104" s="41"/>
      <c r="G104" s="41"/>
    </row>
    <row r="105" spans="1:7" x14ac:dyDescent="0.35">
      <c r="A105" s="127" t="s">
        <v>203</v>
      </c>
      <c r="B105" s="128"/>
      <c r="C105" s="128"/>
      <c r="D105" s="128"/>
      <c r="E105" s="128"/>
      <c r="F105" s="128"/>
      <c r="G105" s="128"/>
    </row>
    <row r="106" spans="1:7" x14ac:dyDescent="0.35">
      <c r="A106" s="41"/>
      <c r="B106" s="41"/>
      <c r="C106" s="41"/>
      <c r="D106" s="41"/>
      <c r="E106" s="41"/>
      <c r="F106" s="41"/>
      <c r="G106" s="41"/>
    </row>
    <row r="107" spans="1:7" x14ac:dyDescent="0.35">
      <c r="A107" s="136" t="s">
        <v>327</v>
      </c>
      <c r="B107" s="136"/>
      <c r="C107" s="136"/>
      <c r="D107" s="136"/>
      <c r="E107" s="136"/>
      <c r="F107" s="136"/>
      <c r="G107" s="136"/>
    </row>
    <row r="108" spans="1:7" x14ac:dyDescent="0.35">
      <c r="A108" s="136"/>
      <c r="B108" s="136"/>
      <c r="C108" s="136"/>
      <c r="D108" s="136"/>
      <c r="E108" s="136"/>
      <c r="F108" s="136"/>
      <c r="G108" s="136"/>
    </row>
    <row r="109" spans="1:7" x14ac:dyDescent="0.35">
      <c r="A109" s="33"/>
      <c r="B109" s="33"/>
      <c r="C109" s="33"/>
      <c r="D109" s="33"/>
      <c r="E109" s="33"/>
      <c r="F109" s="33"/>
      <c r="G109" s="33"/>
    </row>
    <row r="110" spans="1:7" x14ac:dyDescent="0.35">
      <c r="A110" s="126" t="s">
        <v>138</v>
      </c>
      <c r="B110" s="126"/>
      <c r="C110" s="126"/>
      <c r="D110" s="126"/>
      <c r="E110" s="126"/>
      <c r="F110" s="126"/>
      <c r="G110" s="126"/>
    </row>
    <row r="111" spans="1:7" x14ac:dyDescent="0.35">
      <c r="A111" s="126"/>
      <c r="B111" s="126"/>
      <c r="C111" s="126"/>
      <c r="D111" s="126"/>
      <c r="E111" s="126"/>
      <c r="F111" s="126"/>
      <c r="G111" s="126"/>
    </row>
    <row r="112" spans="1:7" x14ac:dyDescent="0.35">
      <c r="A112" s="30"/>
      <c r="B112" s="33"/>
      <c r="C112" s="33"/>
      <c r="D112" s="33"/>
      <c r="E112" s="33"/>
      <c r="F112" s="33"/>
      <c r="G112" s="33"/>
    </row>
    <row r="113" spans="1:7" x14ac:dyDescent="0.35">
      <c r="A113" s="159" t="s">
        <v>15</v>
      </c>
      <c r="B113" s="159"/>
      <c r="C113" s="159"/>
      <c r="D113" s="159"/>
      <c r="E113" s="159"/>
      <c r="F113" s="159"/>
      <c r="G113" s="159"/>
    </row>
    <row r="114" spans="1:7" x14ac:dyDescent="0.35">
      <c r="A114" s="159"/>
      <c r="B114" s="159"/>
      <c r="C114" s="159"/>
      <c r="D114" s="159"/>
      <c r="E114" s="159"/>
      <c r="F114" s="159"/>
      <c r="G114" s="159"/>
    </row>
    <row r="115" spans="1:7" x14ac:dyDescent="0.35">
      <c r="A115" s="159"/>
      <c r="B115" s="159"/>
      <c r="C115" s="159"/>
      <c r="D115" s="159"/>
      <c r="E115" s="159"/>
      <c r="F115" s="159"/>
      <c r="G115" s="159"/>
    </row>
    <row r="116" spans="1:7" ht="15" thickBot="1" x14ac:dyDescent="0.4">
      <c r="A116" s="41"/>
      <c r="B116" s="41"/>
      <c r="C116" s="41"/>
      <c r="D116" s="41"/>
      <c r="E116" s="41"/>
      <c r="F116" s="41"/>
      <c r="G116" s="41"/>
    </row>
    <row r="117" spans="1:7" ht="15" thickBot="1" x14ac:dyDescent="0.4">
      <c r="A117" s="153" t="s">
        <v>193</v>
      </c>
      <c r="B117" s="153"/>
      <c r="C117" s="154" t="s">
        <v>1</v>
      </c>
      <c r="D117" s="155"/>
      <c r="E117" s="14" t="s">
        <v>2</v>
      </c>
      <c r="F117" s="14" t="s">
        <v>3</v>
      </c>
      <c r="G117" s="14"/>
    </row>
    <row r="118" spans="1:7" ht="76.5" customHeight="1" thickBot="1" x14ac:dyDescent="0.4">
      <c r="A118" s="2" t="s">
        <v>4</v>
      </c>
      <c r="B118" s="2" t="s">
        <v>5</v>
      </c>
      <c r="C118" s="154" t="s">
        <v>6</v>
      </c>
      <c r="D118" s="155"/>
      <c r="E118" s="14" t="s">
        <v>16</v>
      </c>
      <c r="F118" s="2" t="s">
        <v>8</v>
      </c>
      <c r="G118" s="2" t="s">
        <v>26</v>
      </c>
    </row>
    <row r="119" spans="1:7" ht="15.75" customHeight="1" thickBot="1" x14ac:dyDescent="0.4">
      <c r="A119" s="8" t="s">
        <v>81</v>
      </c>
      <c r="B119" s="9" t="s">
        <v>195</v>
      </c>
      <c r="C119" s="9"/>
      <c r="D119" s="9"/>
      <c r="E119" s="9"/>
      <c r="F119" s="9"/>
      <c r="G119" s="10"/>
    </row>
    <row r="120" spans="1:7" ht="15" thickBot="1" x14ac:dyDescent="0.4">
      <c r="A120" s="141">
        <v>1.1000000000000001</v>
      </c>
      <c r="B120" s="141" t="s">
        <v>17</v>
      </c>
      <c r="C120" s="129" t="s">
        <v>374</v>
      </c>
      <c r="D120" s="130"/>
      <c r="E120" s="88"/>
      <c r="F120" s="188">
        <f>E120*78400</f>
        <v>0</v>
      </c>
      <c r="G120" s="89"/>
    </row>
    <row r="121" spans="1:7" ht="15" thickBot="1" x14ac:dyDescent="0.4">
      <c r="A121" s="142"/>
      <c r="B121" s="142"/>
      <c r="C121" s="129" t="s">
        <v>18</v>
      </c>
      <c r="D121" s="130"/>
      <c r="E121" s="52"/>
      <c r="F121" s="189"/>
      <c r="G121" s="53"/>
    </row>
    <row r="122" spans="1:7" ht="15" thickBot="1" x14ac:dyDescent="0.4">
      <c r="A122" s="141">
        <v>1.2</v>
      </c>
      <c r="B122" s="141" t="s">
        <v>19</v>
      </c>
      <c r="C122" s="129" t="s">
        <v>374</v>
      </c>
      <c r="D122" s="130"/>
      <c r="E122" s="88"/>
      <c r="F122" s="188">
        <f>E122*78400</f>
        <v>0</v>
      </c>
      <c r="G122" s="89"/>
    </row>
    <row r="123" spans="1:7" ht="15" thickBot="1" x14ac:dyDescent="0.4">
      <c r="A123" s="142"/>
      <c r="B123" s="142"/>
      <c r="C123" s="129" t="s">
        <v>18</v>
      </c>
      <c r="D123" s="130"/>
      <c r="E123" s="52"/>
      <c r="F123" s="189"/>
      <c r="G123" s="53"/>
    </row>
    <row r="124" spans="1:7" ht="15" thickBot="1" x14ac:dyDescent="0.4">
      <c r="A124" s="141">
        <v>1.3</v>
      </c>
      <c r="B124" s="143" t="s">
        <v>169</v>
      </c>
      <c r="C124" s="129" t="s">
        <v>375</v>
      </c>
      <c r="D124" s="130"/>
      <c r="E124" s="88"/>
      <c r="F124" s="188">
        <f>E124*145000</f>
        <v>0</v>
      </c>
      <c r="G124" s="89"/>
    </row>
    <row r="125" spans="1:7" ht="15" thickBot="1" x14ac:dyDescent="0.4">
      <c r="A125" s="142"/>
      <c r="B125" s="142"/>
      <c r="C125" s="129" t="s">
        <v>376</v>
      </c>
      <c r="D125" s="130"/>
      <c r="E125" s="52"/>
      <c r="F125" s="189"/>
      <c r="G125" s="53"/>
    </row>
    <row r="126" spans="1:7" ht="15" thickBot="1" x14ac:dyDescent="0.4">
      <c r="A126" s="141">
        <v>1.4</v>
      </c>
      <c r="B126" s="141" t="s">
        <v>151</v>
      </c>
      <c r="C126" s="129" t="s">
        <v>377</v>
      </c>
      <c r="D126" s="130"/>
      <c r="E126" s="88"/>
      <c r="F126" s="188">
        <f>E126*4700</f>
        <v>0</v>
      </c>
      <c r="G126" s="89"/>
    </row>
    <row r="127" spans="1:7" ht="15" thickBot="1" x14ac:dyDescent="0.4">
      <c r="A127" s="142"/>
      <c r="B127" s="142"/>
      <c r="C127" s="129" t="s">
        <v>23</v>
      </c>
      <c r="D127" s="130"/>
      <c r="E127" s="52"/>
      <c r="F127" s="189"/>
      <c r="G127" s="53"/>
    </row>
    <row r="128" spans="1:7" ht="15" thickBot="1" x14ac:dyDescent="0.4">
      <c r="A128" s="141">
        <v>1.5</v>
      </c>
      <c r="B128" s="141" t="s">
        <v>152</v>
      </c>
      <c r="C128" s="129" t="s">
        <v>377</v>
      </c>
      <c r="D128" s="130"/>
      <c r="E128" s="88"/>
      <c r="F128" s="188">
        <f>E128*4700</f>
        <v>0</v>
      </c>
      <c r="G128" s="89"/>
    </row>
    <row r="129" spans="1:7" ht="15" thickBot="1" x14ac:dyDescent="0.4">
      <c r="A129" s="142"/>
      <c r="B129" s="142"/>
      <c r="C129" s="129" t="s">
        <v>23</v>
      </c>
      <c r="D129" s="130"/>
      <c r="E129" s="52"/>
      <c r="F129" s="189"/>
      <c r="G129" s="53"/>
    </row>
    <row r="130" spans="1:7" ht="15" thickBot="1" x14ac:dyDescent="0.4">
      <c r="A130" s="141">
        <v>1.6</v>
      </c>
      <c r="B130" s="141" t="s">
        <v>330</v>
      </c>
      <c r="C130" s="129" t="s">
        <v>378</v>
      </c>
      <c r="D130" s="130"/>
      <c r="E130" s="88"/>
      <c r="F130" s="188">
        <f>E130*35</f>
        <v>0</v>
      </c>
      <c r="G130" s="89"/>
    </row>
    <row r="131" spans="1:7" ht="15" thickBot="1" x14ac:dyDescent="0.4">
      <c r="A131" s="142"/>
      <c r="B131" s="142"/>
      <c r="C131" s="129" t="s">
        <v>50</v>
      </c>
      <c r="D131" s="130"/>
      <c r="E131" s="52"/>
      <c r="F131" s="189"/>
      <c r="G131" s="53"/>
    </row>
    <row r="132" spans="1:7" ht="15" thickBot="1" x14ac:dyDescent="0.4">
      <c r="A132" s="141">
        <v>1.7</v>
      </c>
      <c r="B132" s="141" t="s">
        <v>153</v>
      </c>
      <c r="C132" s="129" t="s">
        <v>379</v>
      </c>
      <c r="D132" s="130"/>
      <c r="E132" s="88"/>
      <c r="F132" s="188">
        <f>E132*209</f>
        <v>0</v>
      </c>
      <c r="G132" s="89"/>
    </row>
    <row r="133" spans="1:7" ht="15" thickBot="1" x14ac:dyDescent="0.4">
      <c r="A133" s="142"/>
      <c r="B133" s="142"/>
      <c r="C133" s="129" t="s">
        <v>380</v>
      </c>
      <c r="D133" s="130"/>
      <c r="E133" s="52"/>
      <c r="F133" s="189"/>
      <c r="G133" s="53"/>
    </row>
    <row r="134" spans="1:7" ht="15" thickBot="1" x14ac:dyDescent="0.4">
      <c r="A134" s="143" t="s">
        <v>148</v>
      </c>
      <c r="B134" s="141" t="s">
        <v>154</v>
      </c>
      <c r="C134" s="129" t="s">
        <v>381</v>
      </c>
      <c r="D134" s="130"/>
      <c r="E134" s="88"/>
      <c r="F134" s="188">
        <f>E134*1740</f>
        <v>0</v>
      </c>
      <c r="G134" s="89"/>
    </row>
    <row r="135" spans="1:7" ht="15" thickBot="1" x14ac:dyDescent="0.4">
      <c r="A135" s="187"/>
      <c r="B135" s="142"/>
      <c r="C135" s="129" t="s">
        <v>382</v>
      </c>
      <c r="D135" s="130"/>
      <c r="E135" s="52"/>
      <c r="F135" s="189"/>
      <c r="G135" s="53"/>
    </row>
    <row r="136" spans="1:7" ht="15" thickBot="1" x14ac:dyDescent="0.4">
      <c r="A136" s="44" t="s">
        <v>80</v>
      </c>
      <c r="B136" s="45" t="s">
        <v>197</v>
      </c>
      <c r="C136" s="137"/>
      <c r="D136" s="138"/>
      <c r="E136" s="46"/>
      <c r="F136" s="137"/>
      <c r="G136" s="139"/>
    </row>
    <row r="137" spans="1:7" ht="15" thickBot="1" x14ac:dyDescent="0.4">
      <c r="A137" s="141">
        <v>2.1</v>
      </c>
      <c r="B137" s="141" t="s">
        <v>17</v>
      </c>
      <c r="C137" s="129" t="s">
        <v>383</v>
      </c>
      <c r="D137" s="130"/>
      <c r="E137" s="88"/>
      <c r="F137" s="188">
        <f>E137*400</f>
        <v>0</v>
      </c>
      <c r="G137" s="89"/>
    </row>
    <row r="138" spans="1:7" ht="15" thickBot="1" x14ac:dyDescent="0.4">
      <c r="A138" s="142"/>
      <c r="B138" s="142"/>
      <c r="C138" s="129" t="s">
        <v>517</v>
      </c>
      <c r="D138" s="130"/>
      <c r="E138" s="52"/>
      <c r="F138" s="189"/>
      <c r="G138" s="53"/>
    </row>
    <row r="139" spans="1:7" ht="15" thickBot="1" x14ac:dyDescent="0.4">
      <c r="A139" s="141">
        <v>2.2000000000000002</v>
      </c>
      <c r="B139" s="141" t="s">
        <v>19</v>
      </c>
      <c r="C139" s="129" t="s">
        <v>385</v>
      </c>
      <c r="D139" s="130"/>
      <c r="E139" s="88"/>
      <c r="F139" s="188">
        <f>E139*400</f>
        <v>0</v>
      </c>
      <c r="G139" s="89"/>
    </row>
    <row r="140" spans="1:7" ht="15" thickBot="1" x14ac:dyDescent="0.4">
      <c r="A140" s="142"/>
      <c r="B140" s="142"/>
      <c r="C140" s="129" t="s">
        <v>517</v>
      </c>
      <c r="D140" s="130"/>
      <c r="E140" s="52"/>
      <c r="F140" s="189"/>
      <c r="G140" s="53"/>
    </row>
    <row r="141" spans="1:7" ht="15" thickBot="1" x14ac:dyDescent="0.4">
      <c r="A141" s="141">
        <v>2.2999999999999998</v>
      </c>
      <c r="B141" s="143" t="s">
        <v>169</v>
      </c>
      <c r="C141" s="129" t="s">
        <v>386</v>
      </c>
      <c r="D141" s="130"/>
      <c r="E141" s="88"/>
      <c r="F141" s="188">
        <f>E141*3000</f>
        <v>0</v>
      </c>
      <c r="G141" s="89"/>
    </row>
    <row r="142" spans="1:7" ht="15" thickBot="1" x14ac:dyDescent="0.4">
      <c r="A142" s="142"/>
      <c r="B142" s="142"/>
      <c r="C142" s="129" t="s">
        <v>518</v>
      </c>
      <c r="D142" s="130"/>
      <c r="E142" s="52"/>
      <c r="F142" s="189"/>
      <c r="G142" s="53"/>
    </row>
    <row r="143" spans="1:7" ht="15" thickBot="1" x14ac:dyDescent="0.4">
      <c r="A143" s="141">
        <v>2.4</v>
      </c>
      <c r="B143" s="141" t="s">
        <v>151</v>
      </c>
      <c r="C143" s="129" t="s">
        <v>520</v>
      </c>
      <c r="D143" s="130"/>
      <c r="E143" s="88"/>
      <c r="F143" s="188">
        <f>E143*1100</f>
        <v>0</v>
      </c>
      <c r="G143" s="89"/>
    </row>
    <row r="144" spans="1:7" ht="15" thickBot="1" x14ac:dyDescent="0.4">
      <c r="A144" s="142"/>
      <c r="B144" s="142"/>
      <c r="C144" s="129" t="s">
        <v>36</v>
      </c>
      <c r="D144" s="130"/>
      <c r="E144" s="52"/>
      <c r="F144" s="189"/>
      <c r="G144" s="53"/>
    </row>
    <row r="145" spans="1:7" ht="15" thickBot="1" x14ac:dyDescent="0.4">
      <c r="A145" s="141">
        <v>2.5</v>
      </c>
      <c r="B145" s="141" t="s">
        <v>152</v>
      </c>
      <c r="C145" s="129" t="s">
        <v>520</v>
      </c>
      <c r="D145" s="130"/>
      <c r="E145" s="88"/>
      <c r="F145" s="188">
        <f t="shared" ref="F145" si="0">E145*1100</f>
        <v>0</v>
      </c>
      <c r="G145" s="89"/>
    </row>
    <row r="146" spans="1:7" ht="15" thickBot="1" x14ac:dyDescent="0.4">
      <c r="A146" s="142"/>
      <c r="B146" s="142"/>
      <c r="C146" s="129" t="s">
        <v>36</v>
      </c>
      <c r="D146" s="130"/>
      <c r="E146" s="52"/>
      <c r="F146" s="189"/>
      <c r="G146" s="53"/>
    </row>
    <row r="147" spans="1:7" ht="15" thickBot="1" x14ac:dyDescent="0.4">
      <c r="A147" s="141">
        <v>2.6</v>
      </c>
      <c r="B147" s="141" t="s">
        <v>330</v>
      </c>
      <c r="C147" s="129" t="s">
        <v>520</v>
      </c>
      <c r="D147" s="130"/>
      <c r="E147" s="51"/>
      <c r="F147" s="188">
        <f t="shared" ref="F147" si="1">E147*1100</f>
        <v>0</v>
      </c>
      <c r="G147" s="89"/>
    </row>
    <row r="148" spans="1:7" ht="15" thickBot="1" x14ac:dyDescent="0.4">
      <c r="A148" s="142"/>
      <c r="B148" s="142"/>
      <c r="C148" s="129" t="s">
        <v>36</v>
      </c>
      <c r="D148" s="130"/>
      <c r="E148" s="52"/>
      <c r="F148" s="189"/>
      <c r="G148" s="53"/>
    </row>
    <row r="149" spans="1:7" ht="15" thickBot="1" x14ac:dyDescent="0.4">
      <c r="A149" s="141">
        <v>2.7</v>
      </c>
      <c r="B149" s="141" t="s">
        <v>153</v>
      </c>
      <c r="C149" s="129" t="s">
        <v>520</v>
      </c>
      <c r="D149" s="130"/>
      <c r="E149" s="51"/>
      <c r="F149" s="188">
        <f t="shared" ref="F149" si="2">E149*1100</f>
        <v>0</v>
      </c>
      <c r="G149" s="89"/>
    </row>
    <row r="150" spans="1:7" ht="15" thickBot="1" x14ac:dyDescent="0.4">
      <c r="A150" s="142"/>
      <c r="B150" s="142"/>
      <c r="C150" s="129" t="s">
        <v>36</v>
      </c>
      <c r="D150" s="130"/>
      <c r="E150" s="52"/>
      <c r="F150" s="189"/>
      <c r="G150" s="53"/>
    </row>
    <row r="151" spans="1:7" ht="15" thickBot="1" x14ac:dyDescent="0.4">
      <c r="A151" s="143" t="s">
        <v>149</v>
      </c>
      <c r="B151" s="141" t="s">
        <v>154</v>
      </c>
      <c r="C151" s="129" t="s">
        <v>520</v>
      </c>
      <c r="D151" s="130"/>
      <c r="E151" s="51"/>
      <c r="F151" s="188">
        <f t="shared" ref="F151" si="3">E151*1100</f>
        <v>0</v>
      </c>
      <c r="G151" s="89"/>
    </row>
    <row r="152" spans="1:7" ht="15" thickBot="1" x14ac:dyDescent="0.4">
      <c r="A152" s="187"/>
      <c r="B152" s="142"/>
      <c r="C152" s="129" t="s">
        <v>36</v>
      </c>
      <c r="D152" s="130"/>
      <c r="E152" s="52"/>
      <c r="F152" s="189"/>
      <c r="G152" s="53"/>
    </row>
    <row r="153" spans="1:7" ht="15" thickBot="1" x14ac:dyDescent="0.4">
      <c r="A153" s="47" t="s">
        <v>82</v>
      </c>
      <c r="B153" s="45" t="s">
        <v>199</v>
      </c>
      <c r="C153" s="46"/>
      <c r="D153" s="46"/>
      <c r="E153" s="46"/>
      <c r="F153" s="137"/>
      <c r="G153" s="139"/>
    </row>
    <row r="154" spans="1:7" ht="15" thickBot="1" x14ac:dyDescent="0.4">
      <c r="A154" s="141">
        <v>3.1</v>
      </c>
      <c r="B154" s="141" t="s">
        <v>17</v>
      </c>
      <c r="C154" s="129" t="s">
        <v>383</v>
      </c>
      <c r="D154" s="130"/>
      <c r="E154" s="88"/>
      <c r="F154" s="188">
        <f>E154*400</f>
        <v>0</v>
      </c>
      <c r="G154" s="89"/>
    </row>
    <row r="155" spans="1:7" ht="15" thickBot="1" x14ac:dyDescent="0.4">
      <c r="A155" s="142"/>
      <c r="B155" s="142"/>
      <c r="C155" s="129" t="s">
        <v>517</v>
      </c>
      <c r="D155" s="130"/>
      <c r="E155" s="52"/>
      <c r="F155" s="189"/>
      <c r="G155" s="53"/>
    </row>
    <row r="156" spans="1:7" ht="15" thickBot="1" x14ac:dyDescent="0.4">
      <c r="A156" s="141">
        <v>3.2</v>
      </c>
      <c r="B156" s="141" t="s">
        <v>19</v>
      </c>
      <c r="C156" s="129" t="s">
        <v>385</v>
      </c>
      <c r="D156" s="130"/>
      <c r="E156" s="88"/>
      <c r="F156" s="188">
        <f>E156*400</f>
        <v>0</v>
      </c>
      <c r="G156" s="89"/>
    </row>
    <row r="157" spans="1:7" ht="15" thickBot="1" x14ac:dyDescent="0.4">
      <c r="A157" s="142"/>
      <c r="B157" s="142"/>
      <c r="C157" s="129" t="s">
        <v>517</v>
      </c>
      <c r="D157" s="130"/>
      <c r="E157" s="52"/>
      <c r="F157" s="189"/>
      <c r="G157" s="53"/>
    </row>
    <row r="158" spans="1:7" ht="15" thickBot="1" x14ac:dyDescent="0.4">
      <c r="A158" s="141">
        <v>3.3</v>
      </c>
      <c r="B158" s="143" t="s">
        <v>169</v>
      </c>
      <c r="C158" s="129" t="s">
        <v>386</v>
      </c>
      <c r="D158" s="130"/>
      <c r="E158" s="88"/>
      <c r="F158" s="188">
        <f>E158*3000</f>
        <v>0</v>
      </c>
      <c r="G158" s="89"/>
    </row>
    <row r="159" spans="1:7" ht="15" thickBot="1" x14ac:dyDescent="0.4">
      <c r="A159" s="142"/>
      <c r="B159" s="142"/>
      <c r="C159" s="129" t="s">
        <v>518</v>
      </c>
      <c r="D159" s="130"/>
      <c r="E159" s="52"/>
      <c r="F159" s="189"/>
      <c r="G159" s="53"/>
    </row>
    <row r="160" spans="1:7" ht="15" thickBot="1" x14ac:dyDescent="0.4">
      <c r="A160" s="141">
        <v>3.4</v>
      </c>
      <c r="B160" s="141" t="s">
        <v>151</v>
      </c>
      <c r="C160" s="129" t="s">
        <v>520</v>
      </c>
      <c r="D160" s="130"/>
      <c r="E160" s="88"/>
      <c r="F160" s="188">
        <f>E160*1100</f>
        <v>0</v>
      </c>
      <c r="G160" s="89"/>
    </row>
    <row r="161" spans="1:7" ht="15" thickBot="1" x14ac:dyDescent="0.4">
      <c r="A161" s="142"/>
      <c r="B161" s="142"/>
      <c r="C161" s="129" t="s">
        <v>36</v>
      </c>
      <c r="D161" s="130"/>
      <c r="E161" s="52"/>
      <c r="F161" s="189"/>
      <c r="G161" s="53"/>
    </row>
    <row r="162" spans="1:7" ht="15" thickBot="1" x14ac:dyDescent="0.4">
      <c r="A162" s="141">
        <v>3.5</v>
      </c>
      <c r="B162" s="141" t="s">
        <v>152</v>
      </c>
      <c r="C162" s="129" t="s">
        <v>520</v>
      </c>
      <c r="D162" s="130"/>
      <c r="E162" s="88"/>
      <c r="F162" s="188">
        <f t="shared" ref="F162" si="4">E162*1100</f>
        <v>0</v>
      </c>
      <c r="G162" s="89"/>
    </row>
    <row r="163" spans="1:7" ht="15" thickBot="1" x14ac:dyDescent="0.4">
      <c r="A163" s="142"/>
      <c r="B163" s="142"/>
      <c r="C163" s="129" t="s">
        <v>36</v>
      </c>
      <c r="D163" s="130"/>
      <c r="E163" s="52"/>
      <c r="F163" s="189"/>
      <c r="G163" s="53"/>
    </row>
    <row r="164" spans="1:7" ht="15" thickBot="1" x14ac:dyDescent="0.4">
      <c r="A164" s="141">
        <v>3.6</v>
      </c>
      <c r="B164" s="141" t="s">
        <v>330</v>
      </c>
      <c r="C164" s="129" t="s">
        <v>520</v>
      </c>
      <c r="D164" s="130"/>
      <c r="E164" s="88"/>
      <c r="F164" s="188">
        <f t="shared" ref="F164" si="5">E164*1100</f>
        <v>0</v>
      </c>
      <c r="G164" s="89"/>
    </row>
    <row r="165" spans="1:7" ht="15" thickBot="1" x14ac:dyDescent="0.4">
      <c r="A165" s="142"/>
      <c r="B165" s="142"/>
      <c r="C165" s="129" t="s">
        <v>36</v>
      </c>
      <c r="D165" s="130"/>
      <c r="E165" s="52"/>
      <c r="F165" s="189"/>
      <c r="G165" s="53"/>
    </row>
    <row r="166" spans="1:7" ht="15" thickBot="1" x14ac:dyDescent="0.4">
      <c r="A166" s="141">
        <v>3.7</v>
      </c>
      <c r="B166" s="141" t="s">
        <v>153</v>
      </c>
      <c r="C166" s="129" t="s">
        <v>520</v>
      </c>
      <c r="D166" s="130"/>
      <c r="E166" s="88"/>
      <c r="F166" s="188">
        <f t="shared" ref="F166" si="6">E166*1100</f>
        <v>0</v>
      </c>
      <c r="G166" s="89"/>
    </row>
    <row r="167" spans="1:7" ht="15" thickBot="1" x14ac:dyDescent="0.4">
      <c r="A167" s="142"/>
      <c r="B167" s="142"/>
      <c r="C167" s="129" t="s">
        <v>36</v>
      </c>
      <c r="D167" s="130"/>
      <c r="E167" s="52"/>
      <c r="F167" s="189"/>
      <c r="G167" s="53"/>
    </row>
    <row r="168" spans="1:7" ht="15" thickBot="1" x14ac:dyDescent="0.4">
      <c r="A168" s="143" t="s">
        <v>150</v>
      </c>
      <c r="B168" s="141" t="s">
        <v>154</v>
      </c>
      <c r="C168" s="129" t="s">
        <v>520</v>
      </c>
      <c r="D168" s="130"/>
      <c r="E168" s="88"/>
      <c r="F168" s="188">
        <f t="shared" ref="F168" si="7">E168*1100</f>
        <v>0</v>
      </c>
      <c r="G168" s="89"/>
    </row>
    <row r="169" spans="1:7" ht="15" thickBot="1" x14ac:dyDescent="0.4">
      <c r="A169" s="187"/>
      <c r="B169" s="142"/>
      <c r="C169" s="129" t="s">
        <v>36</v>
      </c>
      <c r="D169" s="130"/>
      <c r="E169" s="52"/>
      <c r="F169" s="189"/>
      <c r="G169" s="53"/>
    </row>
    <row r="170" spans="1:7" x14ac:dyDescent="0.35">
      <c r="A170" s="41"/>
      <c r="B170" s="41"/>
      <c r="C170" s="41"/>
      <c r="D170" s="41"/>
      <c r="E170" s="41"/>
      <c r="F170" s="41"/>
      <c r="G170" s="41"/>
    </row>
    <row r="171" spans="1:7" x14ac:dyDescent="0.35">
      <c r="A171" s="145" t="s">
        <v>204</v>
      </c>
      <c r="B171" s="145"/>
      <c r="C171" s="145"/>
      <c r="D171" s="145"/>
      <c r="E171" s="145"/>
      <c r="F171" s="146">
        <f>SUM(F120:F135,F137:F152,F154:F169)</f>
        <v>0</v>
      </c>
      <c r="G171" s="146"/>
    </row>
    <row r="172" spans="1:7" x14ac:dyDescent="0.35">
      <c r="A172" s="54"/>
      <c r="B172" s="54"/>
      <c r="C172" s="54"/>
      <c r="D172" s="54"/>
      <c r="E172" s="54"/>
      <c r="F172" s="55"/>
      <c r="G172" s="55"/>
    </row>
    <row r="173" spans="1:7" x14ac:dyDescent="0.35">
      <c r="A173" s="190" t="s">
        <v>329</v>
      </c>
      <c r="B173" s="191"/>
      <c r="C173" s="191"/>
      <c r="D173" s="191"/>
      <c r="E173" s="191"/>
      <c r="F173" s="191"/>
      <c r="G173" s="191"/>
    </row>
    <row r="174" spans="1:7" x14ac:dyDescent="0.35">
      <c r="A174" s="54"/>
      <c r="B174" s="54"/>
      <c r="C174" s="54"/>
      <c r="D174" s="54"/>
      <c r="E174" s="54"/>
      <c r="F174" s="55"/>
      <c r="G174" s="55"/>
    </row>
    <row r="175" spans="1:7" x14ac:dyDescent="0.35">
      <c r="A175" s="192" t="s">
        <v>331</v>
      </c>
      <c r="B175" s="192"/>
      <c r="C175" s="192"/>
      <c r="D175" s="192"/>
      <c r="E175" s="192"/>
      <c r="F175" s="192"/>
      <c r="G175" s="192"/>
    </row>
    <row r="176" spans="1:7" x14ac:dyDescent="0.35">
      <c r="A176" s="192"/>
      <c r="B176" s="192"/>
      <c r="C176" s="192"/>
      <c r="D176" s="192"/>
      <c r="E176" s="192"/>
      <c r="F176" s="192"/>
      <c r="G176" s="192"/>
    </row>
    <row r="177" spans="1:7" ht="15" thickBot="1" x14ac:dyDescent="0.4">
      <c r="A177" s="41"/>
      <c r="B177" s="41"/>
      <c r="C177" s="41"/>
      <c r="D177" s="41"/>
      <c r="E177" s="41"/>
      <c r="F177" s="41"/>
      <c r="G177" s="41"/>
    </row>
    <row r="178" spans="1:7" ht="15" thickBot="1" x14ac:dyDescent="0.4">
      <c r="A178" s="153" t="s">
        <v>193</v>
      </c>
      <c r="B178" s="153"/>
      <c r="C178" s="154" t="s">
        <v>1</v>
      </c>
      <c r="D178" s="155"/>
      <c r="E178" s="14" t="s">
        <v>2</v>
      </c>
      <c r="F178" s="14" t="s">
        <v>3</v>
      </c>
      <c r="G178" s="14"/>
    </row>
    <row r="179" spans="1:7" ht="79.5" customHeight="1" thickBot="1" x14ac:dyDescent="0.4">
      <c r="A179" s="2" t="s">
        <v>4</v>
      </c>
      <c r="B179" s="2" t="s">
        <v>5</v>
      </c>
      <c r="C179" s="154" t="s">
        <v>155</v>
      </c>
      <c r="D179" s="155"/>
      <c r="E179" s="14" t="s">
        <v>16</v>
      </c>
      <c r="F179" s="2" t="s">
        <v>156</v>
      </c>
      <c r="G179" s="2" t="s">
        <v>26</v>
      </c>
    </row>
    <row r="180" spans="1:7" ht="15" thickBot="1" x14ac:dyDescent="0.4">
      <c r="A180" s="8" t="s">
        <v>81</v>
      </c>
      <c r="B180" s="9" t="s">
        <v>195</v>
      </c>
      <c r="C180" s="9"/>
      <c r="D180" s="9"/>
      <c r="E180" s="9"/>
      <c r="F180" s="9"/>
      <c r="G180" s="10"/>
    </row>
    <row r="181" spans="1:7" ht="15" thickBot="1" x14ac:dyDescent="0.4">
      <c r="A181" s="141">
        <v>1.1000000000000001</v>
      </c>
      <c r="B181" s="193" t="s">
        <v>205</v>
      </c>
      <c r="C181" s="195" t="s">
        <v>390</v>
      </c>
      <c r="D181" s="196"/>
      <c r="E181" s="88"/>
      <c r="F181" s="188">
        <f>E181*1179750</f>
        <v>0</v>
      </c>
      <c r="G181" s="89"/>
    </row>
    <row r="182" spans="1:7" ht="15" thickBot="1" x14ac:dyDescent="0.4">
      <c r="A182" s="142"/>
      <c r="B182" s="194"/>
      <c r="C182" s="195" t="s">
        <v>388</v>
      </c>
      <c r="D182" s="196"/>
      <c r="E182" s="52"/>
      <c r="F182" s="189"/>
      <c r="G182" s="53"/>
    </row>
    <row r="183" spans="1:7" ht="15" thickBot="1" x14ac:dyDescent="0.4">
      <c r="A183" s="141">
        <v>1.2</v>
      </c>
      <c r="B183" s="193" t="s">
        <v>332</v>
      </c>
      <c r="C183" s="195" t="s">
        <v>391</v>
      </c>
      <c r="D183" s="196"/>
      <c r="E183" s="88"/>
      <c r="F183" s="188">
        <f>E183*393250</f>
        <v>0</v>
      </c>
      <c r="G183" s="89"/>
    </row>
    <row r="184" spans="1:7" ht="15" thickBot="1" x14ac:dyDescent="0.4">
      <c r="A184" s="142"/>
      <c r="B184" s="194"/>
      <c r="C184" s="195" t="s">
        <v>389</v>
      </c>
      <c r="D184" s="196"/>
      <c r="E184" s="52"/>
      <c r="F184" s="189"/>
      <c r="G184" s="53"/>
    </row>
    <row r="185" spans="1:7" x14ac:dyDescent="0.35">
      <c r="A185" s="41"/>
      <c r="B185" s="41"/>
      <c r="C185" s="41"/>
      <c r="D185" s="41"/>
      <c r="E185" s="41"/>
      <c r="F185" s="41"/>
      <c r="G185" s="41"/>
    </row>
    <row r="186" spans="1:7" x14ac:dyDescent="0.35">
      <c r="A186" s="145" t="s">
        <v>206</v>
      </c>
      <c r="B186" s="145"/>
      <c r="C186" s="145"/>
      <c r="D186" s="145"/>
      <c r="E186" s="145"/>
      <c r="F186" s="146">
        <f>SUM(F181,F183)</f>
        <v>0</v>
      </c>
      <c r="G186" s="146"/>
    </row>
    <row r="187" spans="1:7" x14ac:dyDescent="0.35">
      <c r="A187" s="41"/>
      <c r="B187" s="41"/>
      <c r="C187" s="41"/>
      <c r="D187" s="41"/>
      <c r="E187" s="41"/>
      <c r="F187" s="41"/>
      <c r="G187" s="41"/>
    </row>
    <row r="188" spans="1:7" x14ac:dyDescent="0.35">
      <c r="A188" s="127" t="s">
        <v>360</v>
      </c>
      <c r="B188" s="128"/>
      <c r="C188" s="128"/>
      <c r="D188" s="128"/>
      <c r="E188" s="128"/>
      <c r="F188" s="128"/>
      <c r="G188" s="128"/>
    </row>
    <row r="189" spans="1:7" x14ac:dyDescent="0.35">
      <c r="A189" s="41"/>
      <c r="B189" s="41"/>
      <c r="C189" s="41"/>
      <c r="D189" s="41"/>
      <c r="E189" s="41"/>
      <c r="F189" s="41"/>
      <c r="G189" s="41"/>
    </row>
    <row r="190" spans="1:7" x14ac:dyDescent="0.35">
      <c r="A190" s="128" t="s">
        <v>207</v>
      </c>
      <c r="B190" s="128"/>
      <c r="C190" s="128"/>
      <c r="D190" s="128"/>
      <c r="E190" s="128"/>
      <c r="F190" s="128"/>
      <c r="G190" s="128"/>
    </row>
    <row r="191" spans="1:7" x14ac:dyDescent="0.35">
      <c r="A191" s="33"/>
      <c r="B191" s="33"/>
      <c r="C191" s="33"/>
      <c r="D191" s="33"/>
      <c r="E191" s="33"/>
      <c r="F191" s="33"/>
      <c r="G191" s="33"/>
    </row>
    <row r="192" spans="1:7" x14ac:dyDescent="0.35">
      <c r="A192" s="126" t="s">
        <v>139</v>
      </c>
      <c r="B192" s="126"/>
      <c r="C192" s="126"/>
      <c r="D192" s="126"/>
      <c r="E192" s="126"/>
      <c r="F192" s="126"/>
      <c r="G192" s="126"/>
    </row>
    <row r="193" spans="1:7" x14ac:dyDescent="0.35">
      <c r="A193" s="126"/>
      <c r="B193" s="126"/>
      <c r="C193" s="126"/>
      <c r="D193" s="126"/>
      <c r="E193" s="126"/>
      <c r="F193" s="126"/>
      <c r="G193" s="126"/>
    </row>
    <row r="194" spans="1:7" x14ac:dyDescent="0.35">
      <c r="A194" s="33"/>
      <c r="B194" s="33"/>
      <c r="C194" s="33"/>
      <c r="D194" s="33"/>
      <c r="E194" s="33"/>
      <c r="F194" s="33"/>
      <c r="G194" s="33"/>
    </row>
    <row r="195" spans="1:7" x14ac:dyDescent="0.35">
      <c r="A195" s="159" t="s">
        <v>15</v>
      </c>
      <c r="B195" s="159"/>
      <c r="C195" s="159"/>
      <c r="D195" s="159"/>
      <c r="E195" s="159"/>
      <c r="F195" s="159"/>
      <c r="G195" s="159"/>
    </row>
    <row r="196" spans="1:7" x14ac:dyDescent="0.35">
      <c r="A196" s="159"/>
      <c r="B196" s="159"/>
      <c r="C196" s="159"/>
      <c r="D196" s="159"/>
      <c r="E196" s="159"/>
      <c r="F196" s="159"/>
      <c r="G196" s="159"/>
    </row>
    <row r="197" spans="1:7" x14ac:dyDescent="0.35">
      <c r="A197" s="159"/>
      <c r="B197" s="159"/>
      <c r="C197" s="159"/>
      <c r="D197" s="159"/>
      <c r="E197" s="159"/>
      <c r="F197" s="159"/>
      <c r="G197" s="159"/>
    </row>
    <row r="198" spans="1:7" ht="15" thickBot="1" x14ac:dyDescent="0.4">
      <c r="A198" s="41"/>
      <c r="B198" s="41"/>
      <c r="C198" s="41"/>
      <c r="D198" s="41"/>
      <c r="E198" s="41"/>
      <c r="F198" s="41"/>
      <c r="G198" s="41"/>
    </row>
    <row r="199" spans="1:7" ht="15" thickBot="1" x14ac:dyDescent="0.4">
      <c r="A199" s="180" t="s">
        <v>193</v>
      </c>
      <c r="B199" s="181"/>
      <c r="C199" s="182"/>
      <c r="D199" s="14" t="s">
        <v>1</v>
      </c>
      <c r="E199" s="14" t="s">
        <v>2</v>
      </c>
      <c r="F199" s="14" t="s">
        <v>3</v>
      </c>
      <c r="G199" s="14" t="s">
        <v>27</v>
      </c>
    </row>
    <row r="200" spans="1:7" ht="77.25" customHeight="1" thickBot="1" x14ac:dyDescent="0.4">
      <c r="A200" s="2" t="s">
        <v>4</v>
      </c>
      <c r="B200" s="2" t="s">
        <v>5</v>
      </c>
      <c r="C200" s="2" t="s">
        <v>28</v>
      </c>
      <c r="D200" s="14" t="s">
        <v>6</v>
      </c>
      <c r="E200" s="14" t="s">
        <v>29</v>
      </c>
      <c r="F200" s="14" t="s">
        <v>8</v>
      </c>
      <c r="G200" s="2" t="s">
        <v>165</v>
      </c>
    </row>
    <row r="201" spans="1:7" ht="15.75" customHeight="1" thickBot="1" x14ac:dyDescent="0.4">
      <c r="A201" s="8" t="s">
        <v>81</v>
      </c>
      <c r="B201" s="9" t="s">
        <v>195</v>
      </c>
      <c r="C201" s="9"/>
      <c r="D201" s="9"/>
      <c r="E201" s="9"/>
      <c r="F201" s="9"/>
      <c r="G201" s="10"/>
    </row>
    <row r="202" spans="1:7" ht="15" thickBot="1" x14ac:dyDescent="0.4">
      <c r="A202" s="184">
        <v>1.1000000000000001</v>
      </c>
      <c r="B202" s="185" t="s">
        <v>170</v>
      </c>
      <c r="C202" s="40" t="s">
        <v>31</v>
      </c>
      <c r="D202" s="56" t="s">
        <v>392</v>
      </c>
      <c r="E202" s="88"/>
      <c r="F202" s="116">
        <f>107*E202</f>
        <v>0</v>
      </c>
      <c r="G202" s="83"/>
    </row>
    <row r="203" spans="1:7" ht="15" thickBot="1" x14ac:dyDescent="0.4">
      <c r="A203" s="184"/>
      <c r="B203" s="184"/>
      <c r="C203" s="40" t="s">
        <v>32</v>
      </c>
      <c r="D203" s="56" t="s">
        <v>393</v>
      </c>
      <c r="E203" s="88"/>
      <c r="F203" s="116">
        <f>643*E203</f>
        <v>0</v>
      </c>
      <c r="G203" s="83"/>
    </row>
    <row r="204" spans="1:7" ht="15" thickBot="1" x14ac:dyDescent="0.4">
      <c r="A204" s="184">
        <v>1.2</v>
      </c>
      <c r="B204" s="185" t="s">
        <v>171</v>
      </c>
      <c r="C204" s="40" t="s">
        <v>31</v>
      </c>
      <c r="D204" s="56" t="s">
        <v>394</v>
      </c>
      <c r="E204" s="88"/>
      <c r="F204" s="116">
        <f>105*E204</f>
        <v>0</v>
      </c>
      <c r="G204" s="83"/>
    </row>
    <row r="205" spans="1:7" ht="15" thickBot="1" x14ac:dyDescent="0.4">
      <c r="A205" s="184"/>
      <c r="B205" s="184"/>
      <c r="C205" s="40" t="s">
        <v>32</v>
      </c>
      <c r="D205" s="56" t="s">
        <v>395</v>
      </c>
      <c r="E205" s="88"/>
      <c r="F205" s="116">
        <f>543*E205</f>
        <v>0</v>
      </c>
      <c r="G205" s="83"/>
    </row>
    <row r="206" spans="1:7" ht="15" thickBot="1" x14ac:dyDescent="0.4">
      <c r="A206" s="184">
        <v>1.3</v>
      </c>
      <c r="B206" s="185" t="s">
        <v>172</v>
      </c>
      <c r="C206" s="40" t="s">
        <v>31</v>
      </c>
      <c r="D206" s="56" t="s">
        <v>396</v>
      </c>
      <c r="E206" s="88"/>
      <c r="F206" s="116">
        <f>78*E206</f>
        <v>0</v>
      </c>
      <c r="G206" s="83"/>
    </row>
    <row r="207" spans="1:7" ht="15" thickBot="1" x14ac:dyDescent="0.4">
      <c r="A207" s="184"/>
      <c r="B207" s="184"/>
      <c r="C207" s="40" t="s">
        <v>32</v>
      </c>
      <c r="D207" s="56" t="s">
        <v>33</v>
      </c>
      <c r="E207" s="88"/>
      <c r="F207" s="116">
        <f>96*E207</f>
        <v>0</v>
      </c>
      <c r="G207" s="83"/>
    </row>
    <row r="208" spans="1:7" ht="15" thickBot="1" x14ac:dyDescent="0.4">
      <c r="A208" s="184">
        <v>1.4</v>
      </c>
      <c r="B208" s="185" t="s">
        <v>173</v>
      </c>
      <c r="C208" s="40" t="s">
        <v>31</v>
      </c>
      <c r="D208" s="56" t="s">
        <v>380</v>
      </c>
      <c r="E208" s="88"/>
      <c r="F208" s="116">
        <f>6*E208</f>
        <v>0</v>
      </c>
      <c r="G208" s="83"/>
    </row>
    <row r="209" spans="1:7" ht="15" thickBot="1" x14ac:dyDescent="0.4">
      <c r="A209" s="184"/>
      <c r="B209" s="184"/>
      <c r="C209" s="40" t="s">
        <v>32</v>
      </c>
      <c r="D209" s="56" t="s">
        <v>36</v>
      </c>
      <c r="E209" s="88"/>
      <c r="F209" s="116">
        <f>24*E209</f>
        <v>0</v>
      </c>
      <c r="G209" s="83"/>
    </row>
    <row r="210" spans="1:7" ht="15" thickBot="1" x14ac:dyDescent="0.4">
      <c r="A210" s="184">
        <v>1.5</v>
      </c>
      <c r="B210" s="185" t="s">
        <v>174</v>
      </c>
      <c r="C210" s="40" t="s">
        <v>31</v>
      </c>
      <c r="D210" s="56" t="s">
        <v>34</v>
      </c>
      <c r="E210" s="88"/>
      <c r="F210" s="116">
        <f>7*E210</f>
        <v>0</v>
      </c>
      <c r="G210" s="83"/>
    </row>
    <row r="211" spans="1:7" ht="15" thickBot="1" x14ac:dyDescent="0.4">
      <c r="A211" s="184"/>
      <c r="B211" s="184"/>
      <c r="C211" s="40" t="s">
        <v>32</v>
      </c>
      <c r="D211" s="56" t="s">
        <v>36</v>
      </c>
      <c r="E211" s="88"/>
      <c r="F211" s="116">
        <f>24*E211</f>
        <v>0</v>
      </c>
      <c r="G211" s="83"/>
    </row>
    <row r="212" spans="1:7" ht="15" thickBot="1" x14ac:dyDescent="0.4">
      <c r="A212" s="184">
        <v>1.6</v>
      </c>
      <c r="B212" s="184" t="s">
        <v>333</v>
      </c>
      <c r="C212" s="40" t="s">
        <v>31</v>
      </c>
      <c r="D212" s="56" t="s">
        <v>404</v>
      </c>
      <c r="E212" s="88"/>
      <c r="F212" s="116">
        <f>104*E212</f>
        <v>0</v>
      </c>
      <c r="G212" s="83"/>
    </row>
    <row r="213" spans="1:7" ht="15" thickBot="1" x14ac:dyDescent="0.4">
      <c r="A213" s="184"/>
      <c r="B213" s="184"/>
      <c r="C213" s="40" t="s">
        <v>32</v>
      </c>
      <c r="D213" s="56" t="s">
        <v>252</v>
      </c>
      <c r="E213" s="88"/>
      <c r="F213" s="116">
        <f>1144*E213</f>
        <v>0</v>
      </c>
      <c r="G213" s="83"/>
    </row>
    <row r="214" spans="1:7" ht="15" thickBot="1" x14ac:dyDescent="0.4">
      <c r="A214" s="184">
        <v>1.7</v>
      </c>
      <c r="B214" s="184" t="s">
        <v>334</v>
      </c>
      <c r="C214" s="40" t="s">
        <v>31</v>
      </c>
      <c r="D214" s="56" t="s">
        <v>35</v>
      </c>
      <c r="E214" s="88"/>
      <c r="F214" s="116">
        <f>97*E214</f>
        <v>0</v>
      </c>
      <c r="G214" s="83"/>
    </row>
    <row r="215" spans="1:7" ht="15" thickBot="1" x14ac:dyDescent="0.4">
      <c r="A215" s="184"/>
      <c r="B215" s="184"/>
      <c r="C215" s="40" t="s">
        <v>32</v>
      </c>
      <c r="D215" s="56" t="s">
        <v>36</v>
      </c>
      <c r="E215" s="88"/>
      <c r="F215" s="116">
        <f>24*E215</f>
        <v>0</v>
      </c>
      <c r="G215" s="83"/>
    </row>
    <row r="216" spans="1:7" ht="15" thickBot="1" x14ac:dyDescent="0.4">
      <c r="A216" s="184">
        <v>1.8</v>
      </c>
      <c r="B216" s="184" t="s">
        <v>335</v>
      </c>
      <c r="C216" s="40" t="s">
        <v>31</v>
      </c>
      <c r="D216" s="56" t="s">
        <v>392</v>
      </c>
      <c r="E216" s="88"/>
      <c r="F216" s="116">
        <f>107*E216</f>
        <v>0</v>
      </c>
      <c r="G216" s="83"/>
    </row>
    <row r="217" spans="1:7" ht="15" thickBot="1" x14ac:dyDescent="0.4">
      <c r="A217" s="184"/>
      <c r="B217" s="184"/>
      <c r="C217" s="40" t="s">
        <v>32</v>
      </c>
      <c r="D217" s="56" t="s">
        <v>398</v>
      </c>
      <c r="E217" s="88"/>
      <c r="F217" s="116">
        <f>37*E217</f>
        <v>0</v>
      </c>
      <c r="G217" s="83"/>
    </row>
    <row r="218" spans="1:7" ht="15" thickBot="1" x14ac:dyDescent="0.4">
      <c r="A218" s="184">
        <v>1.9</v>
      </c>
      <c r="B218" s="184" t="s">
        <v>336</v>
      </c>
      <c r="C218" s="40" t="s">
        <v>31</v>
      </c>
      <c r="D218" s="56" t="s">
        <v>36</v>
      </c>
      <c r="E218" s="88"/>
      <c r="F218" s="116">
        <f>24*E218</f>
        <v>0</v>
      </c>
      <c r="G218" s="83"/>
    </row>
    <row r="219" spans="1:7" ht="15" thickBot="1" x14ac:dyDescent="0.4">
      <c r="A219" s="184"/>
      <c r="B219" s="184"/>
      <c r="C219" s="40" t="s">
        <v>32</v>
      </c>
      <c r="D219" s="56" t="s">
        <v>36</v>
      </c>
      <c r="E219" s="88"/>
      <c r="F219" s="116">
        <f>24*E219</f>
        <v>0</v>
      </c>
      <c r="G219" s="83"/>
    </row>
    <row r="220" spans="1:7" ht="15" thickBot="1" x14ac:dyDescent="0.4">
      <c r="A220" s="185" t="s">
        <v>208</v>
      </c>
      <c r="B220" s="184" t="s">
        <v>337</v>
      </c>
      <c r="C220" s="40" t="s">
        <v>31</v>
      </c>
      <c r="D220" s="56" t="s">
        <v>399</v>
      </c>
      <c r="E220" s="88"/>
      <c r="F220" s="116">
        <f>66*E220</f>
        <v>0</v>
      </c>
      <c r="G220" s="83"/>
    </row>
    <row r="221" spans="1:7" ht="15" thickBot="1" x14ac:dyDescent="0.4">
      <c r="A221" s="185"/>
      <c r="B221" s="184"/>
      <c r="C221" s="40" t="s">
        <v>32</v>
      </c>
      <c r="D221" s="56" t="s">
        <v>36</v>
      </c>
      <c r="E221" s="88"/>
      <c r="F221" s="116">
        <f>24*E221</f>
        <v>0</v>
      </c>
      <c r="G221" s="83"/>
    </row>
    <row r="222" spans="1:7" ht="15" thickBot="1" x14ac:dyDescent="0.4">
      <c r="A222" s="132" t="s">
        <v>37</v>
      </c>
      <c r="B222" s="134" t="s">
        <v>42</v>
      </c>
      <c r="C222" s="40" t="s">
        <v>31</v>
      </c>
      <c r="D222" s="56" t="s">
        <v>400</v>
      </c>
      <c r="E222" s="88"/>
      <c r="F222" s="116">
        <f>92*E222</f>
        <v>0</v>
      </c>
      <c r="G222" s="83"/>
    </row>
    <row r="223" spans="1:7" ht="15" thickBot="1" x14ac:dyDescent="0.4">
      <c r="A223" s="133"/>
      <c r="B223" s="135"/>
      <c r="C223" s="40" t="s">
        <v>32</v>
      </c>
      <c r="D223" s="56" t="s">
        <v>401</v>
      </c>
      <c r="E223" s="88"/>
      <c r="F223" s="116">
        <f>123*E223</f>
        <v>0</v>
      </c>
      <c r="G223" s="83"/>
    </row>
    <row r="224" spans="1:7" ht="15" thickBot="1" x14ac:dyDescent="0.4">
      <c r="A224" s="186">
        <v>1.1200000000000001</v>
      </c>
      <c r="B224" s="134" t="s">
        <v>43</v>
      </c>
      <c r="C224" s="40" t="s">
        <v>31</v>
      </c>
      <c r="D224" s="56" t="s">
        <v>402</v>
      </c>
      <c r="E224" s="88"/>
      <c r="F224" s="116">
        <f>82*E224</f>
        <v>0</v>
      </c>
      <c r="G224" s="83"/>
    </row>
    <row r="225" spans="1:7" ht="15" thickBot="1" x14ac:dyDescent="0.4">
      <c r="A225" s="133"/>
      <c r="B225" s="135"/>
      <c r="C225" s="40" t="s">
        <v>32</v>
      </c>
      <c r="D225" s="56" t="s">
        <v>403</v>
      </c>
      <c r="E225" s="88"/>
      <c r="F225" s="116">
        <f>2208*E225</f>
        <v>0</v>
      </c>
      <c r="G225" s="83"/>
    </row>
    <row r="226" spans="1:7" ht="15" thickBot="1" x14ac:dyDescent="0.4">
      <c r="A226" s="44" t="s">
        <v>80</v>
      </c>
      <c r="B226" s="45" t="s">
        <v>197</v>
      </c>
      <c r="C226" s="137"/>
      <c r="D226" s="138"/>
      <c r="E226" s="46"/>
      <c r="F226" s="137"/>
      <c r="G226" s="139"/>
    </row>
    <row r="227" spans="1:7" ht="15" thickBot="1" x14ac:dyDescent="0.4">
      <c r="A227" s="184">
        <v>2.1</v>
      </c>
      <c r="B227" s="185" t="s">
        <v>170</v>
      </c>
      <c r="C227" s="40" t="s">
        <v>31</v>
      </c>
      <c r="D227" s="56" t="s">
        <v>50</v>
      </c>
      <c r="E227" s="88"/>
      <c r="F227" s="116">
        <f>1*E227</f>
        <v>0</v>
      </c>
      <c r="G227" s="83"/>
    </row>
    <row r="228" spans="1:7" ht="15" thickBot="1" x14ac:dyDescent="0.4">
      <c r="A228" s="184"/>
      <c r="B228" s="184"/>
      <c r="C228" s="40" t="s">
        <v>32</v>
      </c>
      <c r="D228" s="56" t="s">
        <v>405</v>
      </c>
      <c r="E228" s="88"/>
      <c r="F228" s="116">
        <f>232*E228</f>
        <v>0</v>
      </c>
      <c r="G228" s="83"/>
    </row>
    <row r="229" spans="1:7" ht="15" thickBot="1" x14ac:dyDescent="0.4">
      <c r="A229" s="184">
        <v>2.2000000000000002</v>
      </c>
      <c r="B229" s="185" t="s">
        <v>171</v>
      </c>
      <c r="C229" s="40" t="s">
        <v>31</v>
      </c>
      <c r="D229" s="56" t="s">
        <v>36</v>
      </c>
      <c r="E229" s="88"/>
      <c r="F229" s="116">
        <f>24*E229</f>
        <v>0</v>
      </c>
      <c r="G229" s="83"/>
    </row>
    <row r="230" spans="1:7" ht="15" thickBot="1" x14ac:dyDescent="0.4">
      <c r="A230" s="184"/>
      <c r="B230" s="184"/>
      <c r="C230" s="40" t="s">
        <v>32</v>
      </c>
      <c r="D230" s="56" t="s">
        <v>384</v>
      </c>
      <c r="E230" s="88"/>
      <c r="F230" s="116">
        <f>200*E230</f>
        <v>0</v>
      </c>
      <c r="G230" s="83"/>
    </row>
    <row r="231" spans="1:7" ht="15" thickBot="1" x14ac:dyDescent="0.4">
      <c r="A231" s="184">
        <v>2.2999999999999998</v>
      </c>
      <c r="B231" s="185" t="s">
        <v>172</v>
      </c>
      <c r="C231" s="40" t="s">
        <v>31</v>
      </c>
      <c r="D231" s="56" t="s">
        <v>398</v>
      </c>
      <c r="E231" s="88"/>
      <c r="F231" s="116">
        <f>37*E231</f>
        <v>0</v>
      </c>
      <c r="G231" s="83"/>
    </row>
    <row r="232" spans="1:7" ht="15" thickBot="1" x14ac:dyDescent="0.4">
      <c r="A232" s="184"/>
      <c r="B232" s="184"/>
      <c r="C232" s="40" t="s">
        <v>32</v>
      </c>
      <c r="D232" s="56" t="s">
        <v>36</v>
      </c>
      <c r="E232" s="88"/>
      <c r="F232" s="116">
        <f>24*E232</f>
        <v>0</v>
      </c>
      <c r="G232" s="83"/>
    </row>
    <row r="233" spans="1:7" ht="15" thickBot="1" x14ac:dyDescent="0.4">
      <c r="A233" s="184">
        <v>2.4</v>
      </c>
      <c r="B233" s="185" t="s">
        <v>173</v>
      </c>
      <c r="C233" s="40" t="s">
        <v>31</v>
      </c>
      <c r="D233" s="56" t="s">
        <v>20</v>
      </c>
      <c r="E233" s="88"/>
      <c r="F233" s="116">
        <f>2*E233</f>
        <v>0</v>
      </c>
      <c r="G233" s="83"/>
    </row>
    <row r="234" spans="1:7" ht="15" thickBot="1" x14ac:dyDescent="0.4">
      <c r="A234" s="184"/>
      <c r="B234" s="184"/>
      <c r="C234" s="40" t="s">
        <v>32</v>
      </c>
      <c r="D234" s="56" t="s">
        <v>36</v>
      </c>
      <c r="E234" s="88"/>
      <c r="F234" s="116">
        <f>24*E234</f>
        <v>0</v>
      </c>
      <c r="G234" s="83"/>
    </row>
    <row r="235" spans="1:7" ht="15" thickBot="1" x14ac:dyDescent="0.4">
      <c r="A235" s="184">
        <v>2.5</v>
      </c>
      <c r="B235" s="185" t="s">
        <v>174</v>
      </c>
      <c r="C235" s="40" t="s">
        <v>31</v>
      </c>
      <c r="D235" s="56" t="s">
        <v>71</v>
      </c>
      <c r="E235" s="88"/>
      <c r="F235" s="116">
        <f>3*E235</f>
        <v>0</v>
      </c>
      <c r="G235" s="83"/>
    </row>
    <row r="236" spans="1:7" ht="15" thickBot="1" x14ac:dyDescent="0.4">
      <c r="A236" s="184"/>
      <c r="B236" s="184"/>
      <c r="C236" s="40" t="s">
        <v>32</v>
      </c>
      <c r="D236" s="56" t="s">
        <v>36</v>
      </c>
      <c r="E236" s="88"/>
      <c r="F236" s="116">
        <f>24*E236</f>
        <v>0</v>
      </c>
      <c r="G236" s="83"/>
    </row>
    <row r="237" spans="1:7" ht="15" thickBot="1" x14ac:dyDescent="0.4">
      <c r="A237" s="184">
        <v>2.6</v>
      </c>
      <c r="B237" s="184" t="s">
        <v>333</v>
      </c>
      <c r="C237" s="40" t="s">
        <v>31</v>
      </c>
      <c r="D237" s="56" t="s">
        <v>50</v>
      </c>
      <c r="E237" s="88"/>
      <c r="F237" s="116">
        <f>1*E237</f>
        <v>0</v>
      </c>
      <c r="G237" s="83"/>
    </row>
    <row r="238" spans="1:7" ht="15" thickBot="1" x14ac:dyDescent="0.4">
      <c r="A238" s="184"/>
      <c r="B238" s="184"/>
      <c r="C238" s="40" t="s">
        <v>32</v>
      </c>
      <c r="D238" s="56" t="s">
        <v>406</v>
      </c>
      <c r="E238" s="88"/>
      <c r="F238" s="116">
        <f>383*E238</f>
        <v>0</v>
      </c>
      <c r="G238" s="83"/>
    </row>
    <row r="239" spans="1:7" ht="15" thickBot="1" x14ac:dyDescent="0.4">
      <c r="A239" s="184">
        <v>2.7</v>
      </c>
      <c r="B239" s="184" t="s">
        <v>334</v>
      </c>
      <c r="C239" s="40" t="s">
        <v>31</v>
      </c>
      <c r="D239" s="56" t="s">
        <v>54</v>
      </c>
      <c r="E239" s="88"/>
      <c r="F239" s="116">
        <f>35*E239</f>
        <v>0</v>
      </c>
      <c r="G239" s="83"/>
    </row>
    <row r="240" spans="1:7" ht="15" thickBot="1" x14ac:dyDescent="0.4">
      <c r="A240" s="184"/>
      <c r="B240" s="184"/>
      <c r="C240" s="40" t="s">
        <v>32</v>
      </c>
      <c r="D240" s="56" t="s">
        <v>36</v>
      </c>
      <c r="E240" s="88"/>
      <c r="F240" s="116">
        <f>24*E240</f>
        <v>0</v>
      </c>
      <c r="G240" s="83"/>
    </row>
    <row r="241" spans="1:7" ht="15" thickBot="1" x14ac:dyDescent="0.4">
      <c r="A241" s="184">
        <v>2.8</v>
      </c>
      <c r="B241" s="184" t="s">
        <v>335</v>
      </c>
      <c r="C241" s="40" t="s">
        <v>31</v>
      </c>
      <c r="D241" s="56" t="s">
        <v>407</v>
      </c>
      <c r="E241" s="88"/>
      <c r="F241" s="116">
        <f>44*E241</f>
        <v>0</v>
      </c>
      <c r="G241" s="83"/>
    </row>
    <row r="242" spans="1:7" ht="15" thickBot="1" x14ac:dyDescent="0.4">
      <c r="A242" s="184"/>
      <c r="B242" s="184"/>
      <c r="C242" s="40" t="s">
        <v>32</v>
      </c>
      <c r="D242" s="56" t="s">
        <v>36</v>
      </c>
      <c r="E242" s="88"/>
      <c r="F242" s="116">
        <f>24*E242</f>
        <v>0</v>
      </c>
      <c r="G242" s="83"/>
    </row>
    <row r="243" spans="1:7" ht="15" thickBot="1" x14ac:dyDescent="0.4">
      <c r="A243" s="184">
        <v>2.9</v>
      </c>
      <c r="B243" s="184" t="s">
        <v>336</v>
      </c>
      <c r="C243" s="40" t="s">
        <v>31</v>
      </c>
      <c r="D243" s="56" t="s">
        <v>53</v>
      </c>
      <c r="E243" s="88"/>
      <c r="F243" s="116">
        <f>8*E243</f>
        <v>0</v>
      </c>
      <c r="G243" s="83"/>
    </row>
    <row r="244" spans="1:7" ht="15" thickBot="1" x14ac:dyDescent="0.4">
      <c r="A244" s="184"/>
      <c r="B244" s="184"/>
      <c r="C244" s="40" t="s">
        <v>32</v>
      </c>
      <c r="D244" s="56" t="s">
        <v>36</v>
      </c>
      <c r="E244" s="88"/>
      <c r="F244" s="116">
        <f>24*E244</f>
        <v>0</v>
      </c>
      <c r="G244" s="83"/>
    </row>
    <row r="245" spans="1:7" ht="15" thickBot="1" x14ac:dyDescent="0.4">
      <c r="A245" s="185" t="s">
        <v>24</v>
      </c>
      <c r="B245" s="184" t="s">
        <v>337</v>
      </c>
      <c r="C245" s="40" t="s">
        <v>31</v>
      </c>
      <c r="D245" s="56" t="s">
        <v>36</v>
      </c>
      <c r="E245" s="88"/>
      <c r="F245" s="116">
        <f>24*E245</f>
        <v>0</v>
      </c>
      <c r="G245" s="83"/>
    </row>
    <row r="246" spans="1:7" ht="15" thickBot="1" x14ac:dyDescent="0.4">
      <c r="A246" s="185"/>
      <c r="B246" s="184"/>
      <c r="C246" s="40" t="s">
        <v>32</v>
      </c>
      <c r="D246" s="56" t="s">
        <v>36</v>
      </c>
      <c r="E246" s="88"/>
      <c r="F246" s="116">
        <f>24*E246</f>
        <v>0</v>
      </c>
      <c r="G246" s="83"/>
    </row>
    <row r="247" spans="1:7" ht="15" thickBot="1" x14ac:dyDescent="0.4">
      <c r="A247" s="132" t="s">
        <v>56</v>
      </c>
      <c r="B247" s="134" t="s">
        <v>42</v>
      </c>
      <c r="C247" s="40" t="s">
        <v>31</v>
      </c>
      <c r="D247" s="56" t="s">
        <v>20</v>
      </c>
      <c r="E247" s="88"/>
      <c r="F247" s="116">
        <f>2*E247</f>
        <v>0</v>
      </c>
      <c r="G247" s="83"/>
    </row>
    <row r="248" spans="1:7" ht="15" thickBot="1" x14ac:dyDescent="0.4">
      <c r="A248" s="133"/>
      <c r="B248" s="135"/>
      <c r="C248" s="40" t="s">
        <v>32</v>
      </c>
      <c r="D248" s="56" t="s">
        <v>408</v>
      </c>
      <c r="E248" s="88"/>
      <c r="F248" s="116">
        <f>177*E248</f>
        <v>0</v>
      </c>
      <c r="G248" s="83"/>
    </row>
    <row r="249" spans="1:7" ht="15" thickBot="1" x14ac:dyDescent="0.4">
      <c r="A249" s="132" t="s">
        <v>57</v>
      </c>
      <c r="B249" s="134" t="s">
        <v>43</v>
      </c>
      <c r="C249" s="40" t="s">
        <v>31</v>
      </c>
      <c r="D249" s="56" t="s">
        <v>20</v>
      </c>
      <c r="E249" s="88"/>
      <c r="F249" s="116">
        <f>2*E249</f>
        <v>0</v>
      </c>
      <c r="G249" s="83"/>
    </row>
    <row r="250" spans="1:7" ht="15" thickBot="1" x14ac:dyDescent="0.4">
      <c r="A250" s="133"/>
      <c r="B250" s="135"/>
      <c r="C250" s="40" t="s">
        <v>32</v>
      </c>
      <c r="D250" s="56" t="s">
        <v>409</v>
      </c>
      <c r="E250" s="88"/>
      <c r="F250" s="116">
        <f>1903*E250</f>
        <v>0</v>
      </c>
      <c r="G250" s="83"/>
    </row>
    <row r="251" spans="1:7" ht="15" thickBot="1" x14ac:dyDescent="0.4">
      <c r="A251" s="47" t="s">
        <v>82</v>
      </c>
      <c r="B251" s="45" t="s">
        <v>199</v>
      </c>
      <c r="C251" s="46"/>
      <c r="D251" s="46"/>
      <c r="E251" s="46"/>
      <c r="F251" s="137"/>
      <c r="G251" s="139"/>
    </row>
    <row r="252" spans="1:7" ht="15" thickBot="1" x14ac:dyDescent="0.4">
      <c r="A252" s="184">
        <v>3.1</v>
      </c>
      <c r="B252" s="185" t="s">
        <v>170</v>
      </c>
      <c r="C252" s="40" t="s">
        <v>31</v>
      </c>
      <c r="D252" s="56" t="s">
        <v>50</v>
      </c>
      <c r="E252" s="88"/>
      <c r="F252" s="116">
        <f>1*E252</f>
        <v>0</v>
      </c>
      <c r="G252" s="83"/>
    </row>
    <row r="253" spans="1:7" ht="15" thickBot="1" x14ac:dyDescent="0.4">
      <c r="A253" s="184"/>
      <c r="B253" s="184"/>
      <c r="C253" s="40" t="s">
        <v>32</v>
      </c>
      <c r="D253" s="56" t="s">
        <v>410</v>
      </c>
      <c r="E253" s="88"/>
      <c r="F253" s="116">
        <f>153*E253</f>
        <v>0</v>
      </c>
      <c r="G253" s="83"/>
    </row>
    <row r="254" spans="1:7" ht="15" thickBot="1" x14ac:dyDescent="0.4">
      <c r="A254" s="184">
        <v>3.2</v>
      </c>
      <c r="B254" s="185" t="s">
        <v>171</v>
      </c>
      <c r="C254" s="40" t="s">
        <v>31</v>
      </c>
      <c r="D254" s="56" t="s">
        <v>50</v>
      </c>
      <c r="E254" s="88"/>
      <c r="F254" s="116">
        <f t="shared" ref="F254:F274" si="8">1*E254</f>
        <v>0</v>
      </c>
      <c r="G254" s="83"/>
    </row>
    <row r="255" spans="1:7" ht="15" thickBot="1" x14ac:dyDescent="0.4">
      <c r="A255" s="184"/>
      <c r="B255" s="184"/>
      <c r="C255" s="40" t="s">
        <v>32</v>
      </c>
      <c r="D255" s="56" t="s">
        <v>411</v>
      </c>
      <c r="E255" s="88"/>
      <c r="F255" s="116">
        <f>132*E255</f>
        <v>0</v>
      </c>
      <c r="G255" s="83"/>
    </row>
    <row r="256" spans="1:7" ht="15" thickBot="1" x14ac:dyDescent="0.4">
      <c r="A256" s="184">
        <v>3.3</v>
      </c>
      <c r="B256" s="185" t="s">
        <v>172</v>
      </c>
      <c r="C256" s="40" t="s">
        <v>31</v>
      </c>
      <c r="D256" s="56" t="s">
        <v>412</v>
      </c>
      <c r="E256" s="88"/>
      <c r="F256" s="116">
        <f>36*E256</f>
        <v>0</v>
      </c>
      <c r="G256" s="83"/>
    </row>
    <row r="257" spans="1:7" ht="15" thickBot="1" x14ac:dyDescent="0.4">
      <c r="A257" s="184"/>
      <c r="B257" s="184"/>
      <c r="C257" s="40" t="s">
        <v>32</v>
      </c>
      <c r="D257" s="56" t="s">
        <v>36</v>
      </c>
      <c r="E257" s="88"/>
      <c r="F257" s="116">
        <f>24*E257</f>
        <v>0</v>
      </c>
      <c r="G257" s="83"/>
    </row>
    <row r="258" spans="1:7" ht="15" thickBot="1" x14ac:dyDescent="0.4">
      <c r="A258" s="184">
        <v>3.4</v>
      </c>
      <c r="B258" s="185" t="s">
        <v>173</v>
      </c>
      <c r="C258" s="40" t="s">
        <v>31</v>
      </c>
      <c r="D258" s="56" t="s">
        <v>20</v>
      </c>
      <c r="E258" s="88"/>
      <c r="F258" s="116">
        <f>2*E258</f>
        <v>0</v>
      </c>
      <c r="G258" s="83"/>
    </row>
    <row r="259" spans="1:7" ht="15" thickBot="1" x14ac:dyDescent="0.4">
      <c r="A259" s="184"/>
      <c r="B259" s="184"/>
      <c r="C259" s="40" t="s">
        <v>32</v>
      </c>
      <c r="D259" s="56" t="s">
        <v>36</v>
      </c>
      <c r="E259" s="88"/>
      <c r="F259" s="116">
        <f>24*E259</f>
        <v>0</v>
      </c>
      <c r="G259" s="83"/>
    </row>
    <row r="260" spans="1:7" ht="15" thickBot="1" x14ac:dyDescent="0.4">
      <c r="A260" s="184">
        <v>3.5</v>
      </c>
      <c r="B260" s="185" t="s">
        <v>174</v>
      </c>
      <c r="C260" s="40" t="s">
        <v>31</v>
      </c>
      <c r="D260" s="56" t="s">
        <v>20</v>
      </c>
      <c r="E260" s="88"/>
      <c r="F260" s="116">
        <f>2*E260</f>
        <v>0</v>
      </c>
      <c r="G260" s="83"/>
    </row>
    <row r="261" spans="1:7" ht="15" thickBot="1" x14ac:dyDescent="0.4">
      <c r="A261" s="184"/>
      <c r="B261" s="184"/>
      <c r="C261" s="40" t="s">
        <v>32</v>
      </c>
      <c r="D261" s="56" t="s">
        <v>36</v>
      </c>
      <c r="E261" s="88"/>
      <c r="F261" s="116">
        <f>24*E261</f>
        <v>0</v>
      </c>
      <c r="G261" s="83"/>
    </row>
    <row r="262" spans="1:7" ht="15" thickBot="1" x14ac:dyDescent="0.4">
      <c r="A262" s="184">
        <v>3.6</v>
      </c>
      <c r="B262" s="184" t="s">
        <v>333</v>
      </c>
      <c r="C262" s="40" t="s">
        <v>31</v>
      </c>
      <c r="D262" s="56" t="s">
        <v>50</v>
      </c>
      <c r="E262" s="88"/>
      <c r="F262" s="116">
        <f t="shared" si="8"/>
        <v>0</v>
      </c>
      <c r="G262" s="83"/>
    </row>
    <row r="263" spans="1:7" ht="15" thickBot="1" x14ac:dyDescent="0.4">
      <c r="A263" s="184"/>
      <c r="B263" s="184"/>
      <c r="C263" s="40" t="s">
        <v>32</v>
      </c>
      <c r="D263" s="56" t="s">
        <v>413</v>
      </c>
      <c r="E263" s="88"/>
      <c r="F263" s="116">
        <f>251*E263</f>
        <v>0</v>
      </c>
      <c r="G263" s="83"/>
    </row>
    <row r="264" spans="1:7" ht="15" thickBot="1" x14ac:dyDescent="0.4">
      <c r="A264" s="184">
        <v>3.7</v>
      </c>
      <c r="B264" s="184" t="s">
        <v>334</v>
      </c>
      <c r="C264" s="40" t="s">
        <v>31</v>
      </c>
      <c r="D264" s="56" t="s">
        <v>414</v>
      </c>
      <c r="E264" s="88"/>
      <c r="F264" s="116">
        <f>23*E264</f>
        <v>0</v>
      </c>
      <c r="G264" s="83"/>
    </row>
    <row r="265" spans="1:7" ht="15" thickBot="1" x14ac:dyDescent="0.4">
      <c r="A265" s="184"/>
      <c r="B265" s="184"/>
      <c r="C265" s="40" t="s">
        <v>32</v>
      </c>
      <c r="D265" s="56" t="s">
        <v>36</v>
      </c>
      <c r="E265" s="88"/>
      <c r="F265" s="116">
        <f>24*E265</f>
        <v>0</v>
      </c>
      <c r="G265" s="83"/>
    </row>
    <row r="266" spans="1:7" ht="15" thickBot="1" x14ac:dyDescent="0.4">
      <c r="A266" s="184">
        <v>3.8</v>
      </c>
      <c r="B266" s="184" t="s">
        <v>335</v>
      </c>
      <c r="C266" s="40" t="s">
        <v>31</v>
      </c>
      <c r="D266" s="56" t="s">
        <v>55</v>
      </c>
      <c r="E266" s="88"/>
      <c r="F266" s="116">
        <f>29*E266</f>
        <v>0</v>
      </c>
      <c r="G266" s="83"/>
    </row>
    <row r="267" spans="1:7" ht="15" thickBot="1" x14ac:dyDescent="0.4">
      <c r="A267" s="184"/>
      <c r="B267" s="184"/>
      <c r="C267" s="40" t="s">
        <v>32</v>
      </c>
      <c r="D267" s="56" t="s">
        <v>36</v>
      </c>
      <c r="E267" s="88"/>
      <c r="F267" s="116">
        <f>24*E267</f>
        <v>0</v>
      </c>
      <c r="G267" s="83"/>
    </row>
    <row r="268" spans="1:7" ht="15" thickBot="1" x14ac:dyDescent="0.4">
      <c r="A268" s="184">
        <v>3.9</v>
      </c>
      <c r="B268" s="184" t="s">
        <v>336</v>
      </c>
      <c r="C268" s="40" t="s">
        <v>31</v>
      </c>
      <c r="D268" s="56" t="s">
        <v>52</v>
      </c>
      <c r="E268" s="88"/>
      <c r="F268" s="116">
        <f>5*E268</f>
        <v>0</v>
      </c>
      <c r="G268" s="83"/>
    </row>
    <row r="269" spans="1:7" ht="15" thickBot="1" x14ac:dyDescent="0.4">
      <c r="A269" s="184"/>
      <c r="B269" s="184"/>
      <c r="C269" s="40" t="s">
        <v>32</v>
      </c>
      <c r="D269" s="56" t="s">
        <v>397</v>
      </c>
      <c r="E269" s="88"/>
      <c r="F269" s="116">
        <f>24*E269</f>
        <v>0</v>
      </c>
      <c r="G269" s="83"/>
    </row>
    <row r="270" spans="1:7" ht="15" thickBot="1" x14ac:dyDescent="0.4">
      <c r="A270" s="185" t="s">
        <v>25</v>
      </c>
      <c r="B270" s="184" t="s">
        <v>337</v>
      </c>
      <c r="C270" s="40" t="s">
        <v>31</v>
      </c>
      <c r="D270" s="56" t="s">
        <v>415</v>
      </c>
      <c r="E270" s="88"/>
      <c r="F270" s="116">
        <f>16*E270</f>
        <v>0</v>
      </c>
      <c r="G270" s="83"/>
    </row>
    <row r="271" spans="1:7" ht="15" thickBot="1" x14ac:dyDescent="0.4">
      <c r="A271" s="185"/>
      <c r="B271" s="184"/>
      <c r="C271" s="40" t="s">
        <v>32</v>
      </c>
      <c r="D271" s="56" t="s">
        <v>36</v>
      </c>
      <c r="E271" s="88"/>
      <c r="F271" s="116">
        <f>24*E271</f>
        <v>0</v>
      </c>
      <c r="G271" s="83"/>
    </row>
    <row r="272" spans="1:7" ht="15" thickBot="1" x14ac:dyDescent="0.4">
      <c r="A272" s="132" t="s">
        <v>59</v>
      </c>
      <c r="B272" s="134" t="s">
        <v>42</v>
      </c>
      <c r="C272" s="40" t="s">
        <v>31</v>
      </c>
      <c r="D272" s="56" t="s">
        <v>416</v>
      </c>
      <c r="E272" s="88"/>
      <c r="F272" s="116">
        <f>157*E272</f>
        <v>0</v>
      </c>
      <c r="G272" s="83"/>
    </row>
    <row r="273" spans="1:7" ht="15" thickBot="1" x14ac:dyDescent="0.4">
      <c r="A273" s="133"/>
      <c r="B273" s="135"/>
      <c r="C273" s="40" t="s">
        <v>32</v>
      </c>
      <c r="D273" s="56" t="s">
        <v>36</v>
      </c>
      <c r="E273" s="88"/>
      <c r="F273" s="116">
        <f>24*E273</f>
        <v>0</v>
      </c>
      <c r="G273" s="83"/>
    </row>
    <row r="274" spans="1:7" ht="15" thickBot="1" x14ac:dyDescent="0.4">
      <c r="A274" s="132" t="s">
        <v>60</v>
      </c>
      <c r="B274" s="134" t="s">
        <v>43</v>
      </c>
      <c r="C274" s="40" t="s">
        <v>31</v>
      </c>
      <c r="D274" s="56" t="s">
        <v>50</v>
      </c>
      <c r="E274" s="88"/>
      <c r="F274" s="116">
        <f t="shared" si="8"/>
        <v>0</v>
      </c>
      <c r="G274" s="83"/>
    </row>
    <row r="275" spans="1:7" ht="15" thickBot="1" x14ac:dyDescent="0.4">
      <c r="A275" s="133"/>
      <c r="B275" s="135"/>
      <c r="C275" s="40" t="s">
        <v>32</v>
      </c>
      <c r="D275" s="56" t="s">
        <v>417</v>
      </c>
      <c r="E275" s="88"/>
      <c r="F275" s="116">
        <f>1677*E275</f>
        <v>0</v>
      </c>
      <c r="G275" s="83"/>
    </row>
    <row r="276" spans="1:7" x14ac:dyDescent="0.35">
      <c r="A276" s="41"/>
      <c r="B276" s="41"/>
      <c r="C276" s="41"/>
      <c r="D276" s="41"/>
      <c r="E276" s="41"/>
      <c r="F276" s="41"/>
      <c r="G276" s="41"/>
    </row>
    <row r="277" spans="1:7" x14ac:dyDescent="0.35">
      <c r="A277" s="145" t="s">
        <v>209</v>
      </c>
      <c r="B277" s="145"/>
      <c r="C277" s="145"/>
      <c r="D277" s="145"/>
      <c r="E277" s="145"/>
      <c r="F277" s="146">
        <f>SUM(F202:F225,F227:F250,F252:F275)</f>
        <v>0</v>
      </c>
      <c r="G277" s="146"/>
    </row>
    <row r="278" spans="1:7" x14ac:dyDescent="0.35">
      <c r="A278" s="41"/>
      <c r="B278" s="41"/>
      <c r="C278" s="41"/>
      <c r="D278" s="41"/>
      <c r="E278" s="41"/>
      <c r="F278" s="41"/>
      <c r="G278" s="41"/>
    </row>
    <row r="279" spans="1:7" x14ac:dyDescent="0.35">
      <c r="A279" s="123" t="s">
        <v>210</v>
      </c>
      <c r="B279" s="123"/>
      <c r="C279" s="123"/>
      <c r="D279" s="123"/>
      <c r="E279" s="123"/>
      <c r="F279" s="123"/>
      <c r="G279" s="123"/>
    </row>
    <row r="280" spans="1:7" x14ac:dyDescent="0.35">
      <c r="A280" s="57"/>
      <c r="B280" s="41"/>
      <c r="C280" s="57"/>
      <c r="D280" s="41"/>
      <c r="E280" s="41"/>
      <c r="F280" s="41"/>
      <c r="G280" s="41"/>
    </row>
    <row r="281" spans="1:7" x14ac:dyDescent="0.35">
      <c r="A281" s="128" t="s">
        <v>371</v>
      </c>
      <c r="B281" s="128"/>
      <c r="C281" s="128"/>
      <c r="D281" s="128"/>
      <c r="E281" s="128"/>
      <c r="F281" s="128"/>
      <c r="G281" s="128"/>
    </row>
    <row r="282" spans="1:7" x14ac:dyDescent="0.35">
      <c r="A282" s="33"/>
      <c r="B282" s="33"/>
      <c r="C282" s="33"/>
      <c r="D282" s="33"/>
      <c r="E282" s="33"/>
      <c r="F282" s="33"/>
      <c r="G282" s="33"/>
    </row>
    <row r="283" spans="1:7" x14ac:dyDescent="0.35">
      <c r="A283" s="126" t="s">
        <v>140</v>
      </c>
      <c r="B283" s="126"/>
      <c r="C283" s="126"/>
      <c r="D283" s="126"/>
      <c r="E283" s="126"/>
      <c r="F283" s="126"/>
      <c r="G283" s="126"/>
    </row>
    <row r="284" spans="1:7" x14ac:dyDescent="0.35">
      <c r="A284" s="126"/>
      <c r="B284" s="126"/>
      <c r="C284" s="126"/>
      <c r="D284" s="126"/>
      <c r="E284" s="126"/>
      <c r="F284" s="126"/>
      <c r="G284" s="126"/>
    </row>
    <row r="285" spans="1:7" x14ac:dyDescent="0.35">
      <c r="A285" s="33"/>
      <c r="B285" s="33"/>
      <c r="C285" s="33"/>
      <c r="D285" s="33"/>
      <c r="E285" s="33"/>
      <c r="F285" s="33"/>
      <c r="G285" s="33"/>
    </row>
    <row r="286" spans="1:7" x14ac:dyDescent="0.35">
      <c r="A286" s="159" t="s">
        <v>62</v>
      </c>
      <c r="B286" s="159"/>
      <c r="C286" s="159"/>
      <c r="D286" s="159"/>
      <c r="E286" s="159"/>
      <c r="F286" s="159"/>
      <c r="G286" s="159"/>
    </row>
    <row r="287" spans="1:7" x14ac:dyDescent="0.35">
      <c r="A287" s="159"/>
      <c r="B287" s="159"/>
      <c r="C287" s="159"/>
      <c r="D287" s="159"/>
      <c r="E287" s="159"/>
      <c r="F287" s="159"/>
      <c r="G287" s="159"/>
    </row>
    <row r="288" spans="1:7" x14ac:dyDescent="0.35">
      <c r="A288" s="159"/>
      <c r="B288" s="159"/>
      <c r="C288" s="159"/>
      <c r="D288" s="159"/>
      <c r="E288" s="159"/>
      <c r="F288" s="159"/>
      <c r="G288" s="159"/>
    </row>
    <row r="289" spans="1:7" ht="15" thickBot="1" x14ac:dyDescent="0.4">
      <c r="A289" s="41"/>
      <c r="B289" s="41"/>
      <c r="C289" s="41"/>
      <c r="D289" s="41"/>
      <c r="E289" s="41"/>
      <c r="F289" s="41"/>
      <c r="G289" s="41"/>
    </row>
    <row r="290" spans="1:7" ht="15" thickBot="1" x14ac:dyDescent="0.4">
      <c r="A290" s="180" t="s">
        <v>193</v>
      </c>
      <c r="B290" s="181"/>
      <c r="C290" s="182"/>
      <c r="D290" s="14" t="s">
        <v>1</v>
      </c>
      <c r="E290" s="14" t="s">
        <v>2</v>
      </c>
      <c r="F290" s="14" t="s">
        <v>3</v>
      </c>
      <c r="G290" s="14" t="s">
        <v>27</v>
      </c>
    </row>
    <row r="291" spans="1:7" ht="79.5" customHeight="1" thickBot="1" x14ac:dyDescent="0.4">
      <c r="A291" s="2" t="s">
        <v>4</v>
      </c>
      <c r="B291" s="2" t="s">
        <v>5</v>
      </c>
      <c r="C291" s="4" t="s">
        <v>166</v>
      </c>
      <c r="D291" s="37" t="s">
        <v>6</v>
      </c>
      <c r="E291" s="14" t="s">
        <v>531</v>
      </c>
      <c r="F291" s="14" t="s">
        <v>8</v>
      </c>
      <c r="G291" s="14" t="s">
        <v>530</v>
      </c>
    </row>
    <row r="292" spans="1:7" ht="15.75" customHeight="1" thickBot="1" x14ac:dyDescent="0.4">
      <c r="A292" s="8" t="s">
        <v>81</v>
      </c>
      <c r="B292" s="9" t="s">
        <v>195</v>
      </c>
      <c r="C292" s="9"/>
      <c r="D292" s="9"/>
      <c r="E292" s="9"/>
      <c r="F292" s="9"/>
      <c r="G292" s="10"/>
    </row>
    <row r="293" spans="1:7" ht="15" thickBot="1" x14ac:dyDescent="0.4">
      <c r="A293" s="49">
        <v>1.1000000000000001</v>
      </c>
      <c r="B293" s="43" t="s">
        <v>63</v>
      </c>
      <c r="C293" s="43" t="s">
        <v>64</v>
      </c>
      <c r="D293" s="56" t="s">
        <v>418</v>
      </c>
      <c r="E293" s="88"/>
      <c r="F293" s="114">
        <f>174*E293</f>
        <v>0</v>
      </c>
      <c r="G293" s="84"/>
    </row>
    <row r="294" spans="1:7" ht="15" thickBot="1" x14ac:dyDescent="0.4">
      <c r="A294" s="49">
        <v>1.2</v>
      </c>
      <c r="B294" s="58" t="s">
        <v>175</v>
      </c>
      <c r="C294" s="49" t="s">
        <v>64</v>
      </c>
      <c r="D294" s="59" t="s">
        <v>419</v>
      </c>
      <c r="E294" s="88"/>
      <c r="F294" s="114">
        <f>158*E294</f>
        <v>0</v>
      </c>
      <c r="G294" s="84"/>
    </row>
    <row r="295" spans="1:7" ht="15" thickBot="1" x14ac:dyDescent="0.4">
      <c r="A295" s="49">
        <v>1.3</v>
      </c>
      <c r="B295" s="43" t="s">
        <v>338</v>
      </c>
      <c r="C295" s="43" t="s">
        <v>64</v>
      </c>
      <c r="D295" s="56" t="s">
        <v>420</v>
      </c>
      <c r="E295" s="88"/>
      <c r="F295" s="114">
        <f>5*E295</f>
        <v>0</v>
      </c>
      <c r="G295" s="84"/>
    </row>
    <row r="296" spans="1:7" ht="15" thickBot="1" x14ac:dyDescent="0.4">
      <c r="A296" s="44" t="s">
        <v>80</v>
      </c>
      <c r="B296" s="45" t="s">
        <v>197</v>
      </c>
      <c r="C296" s="137"/>
      <c r="D296" s="138"/>
      <c r="E296" s="46"/>
      <c r="F296" s="137"/>
      <c r="G296" s="139"/>
    </row>
    <row r="297" spans="1:7" ht="15" thickBot="1" x14ac:dyDescent="0.4">
      <c r="A297" s="49">
        <v>2.1</v>
      </c>
      <c r="B297" s="43" t="s">
        <v>63</v>
      </c>
      <c r="C297" s="43" t="s">
        <v>64</v>
      </c>
      <c r="D297" s="56" t="s">
        <v>421</v>
      </c>
      <c r="E297" s="90"/>
      <c r="F297" s="115">
        <f>3*E297</f>
        <v>0</v>
      </c>
      <c r="G297" s="84"/>
    </row>
    <row r="298" spans="1:7" ht="15" thickBot="1" x14ac:dyDescent="0.4">
      <c r="A298" s="49">
        <v>2.2000000000000002</v>
      </c>
      <c r="B298" s="58" t="s">
        <v>175</v>
      </c>
      <c r="C298" s="49" t="s">
        <v>64</v>
      </c>
      <c r="D298" s="59" t="s">
        <v>422</v>
      </c>
      <c r="E298" s="90"/>
      <c r="F298" s="115">
        <f>13*E298</f>
        <v>0</v>
      </c>
      <c r="G298" s="84"/>
    </row>
    <row r="299" spans="1:7" ht="15" thickBot="1" x14ac:dyDescent="0.4">
      <c r="A299" s="49">
        <v>2.2999999999999998</v>
      </c>
      <c r="B299" s="43" t="s">
        <v>338</v>
      </c>
      <c r="C299" s="43" t="s">
        <v>64</v>
      </c>
      <c r="D299" s="56" t="s">
        <v>147</v>
      </c>
      <c r="E299" s="90"/>
      <c r="F299" s="115">
        <f>9*E299</f>
        <v>0</v>
      </c>
      <c r="G299" s="84"/>
    </row>
    <row r="300" spans="1:7" ht="15" thickBot="1" x14ac:dyDescent="0.4">
      <c r="A300" s="47" t="s">
        <v>82</v>
      </c>
      <c r="B300" s="45" t="s">
        <v>199</v>
      </c>
      <c r="C300" s="46"/>
      <c r="D300" s="46"/>
      <c r="E300" s="46"/>
      <c r="F300" s="137"/>
      <c r="G300" s="139"/>
    </row>
    <row r="301" spans="1:7" ht="15" thickBot="1" x14ac:dyDescent="0.4">
      <c r="A301" s="49">
        <v>3.1</v>
      </c>
      <c r="B301" s="43" t="s">
        <v>63</v>
      </c>
      <c r="C301" s="43" t="s">
        <v>64</v>
      </c>
      <c r="D301" s="56" t="s">
        <v>421</v>
      </c>
      <c r="E301" s="91"/>
      <c r="F301" s="115">
        <f>3*E301</f>
        <v>0</v>
      </c>
      <c r="G301" s="84"/>
    </row>
    <row r="302" spans="1:7" ht="15" thickBot="1" x14ac:dyDescent="0.4">
      <c r="A302" s="49">
        <v>3.2</v>
      </c>
      <c r="B302" s="58" t="s">
        <v>175</v>
      </c>
      <c r="C302" s="49" t="s">
        <v>64</v>
      </c>
      <c r="D302" s="59" t="s">
        <v>422</v>
      </c>
      <c r="E302" s="91"/>
      <c r="F302" s="115">
        <f>13*E302</f>
        <v>0</v>
      </c>
      <c r="G302" s="84"/>
    </row>
    <row r="303" spans="1:7" ht="15" thickBot="1" x14ac:dyDescent="0.4">
      <c r="A303" s="49">
        <v>3.3</v>
      </c>
      <c r="B303" s="43" t="s">
        <v>338</v>
      </c>
      <c r="C303" s="43" t="s">
        <v>64</v>
      </c>
      <c r="D303" s="56" t="s">
        <v>147</v>
      </c>
      <c r="E303" s="90"/>
      <c r="F303" s="115">
        <f>9*E303</f>
        <v>0</v>
      </c>
      <c r="G303" s="84"/>
    </row>
    <row r="304" spans="1:7" x14ac:dyDescent="0.35">
      <c r="A304" s="41"/>
      <c r="B304" s="41"/>
      <c r="C304" s="41"/>
      <c r="D304" s="41"/>
      <c r="E304" s="41"/>
      <c r="F304" s="41"/>
      <c r="G304" s="41"/>
    </row>
    <row r="305" spans="1:7" x14ac:dyDescent="0.35">
      <c r="A305" s="145" t="s">
        <v>211</v>
      </c>
      <c r="B305" s="145"/>
      <c r="C305" s="145"/>
      <c r="D305" s="145"/>
      <c r="E305" s="145"/>
      <c r="F305" s="146">
        <f>SUM(F293:F295,F297:F299,F301:F303)</f>
        <v>0</v>
      </c>
      <c r="G305" s="146"/>
    </row>
    <row r="306" spans="1:7" x14ac:dyDescent="0.35">
      <c r="A306" s="54"/>
      <c r="B306" s="54"/>
      <c r="C306" s="54"/>
      <c r="D306" s="54"/>
      <c r="E306" s="54"/>
      <c r="F306" s="55"/>
      <c r="G306" s="55"/>
    </row>
    <row r="307" spans="1:7" x14ac:dyDescent="0.35">
      <c r="A307" s="127" t="s">
        <v>212</v>
      </c>
      <c r="B307" s="127"/>
      <c r="C307" s="127"/>
      <c r="D307" s="127"/>
      <c r="E307" s="127"/>
      <c r="F307" s="127"/>
      <c r="G307" s="127"/>
    </row>
    <row r="308" spans="1:7" x14ac:dyDescent="0.35">
      <c r="A308" s="41"/>
      <c r="B308" s="41"/>
      <c r="C308" s="41"/>
      <c r="D308" s="41"/>
      <c r="E308" s="41"/>
      <c r="F308" s="41"/>
      <c r="G308" s="41"/>
    </row>
    <row r="309" spans="1:7" x14ac:dyDescent="0.35">
      <c r="A309" s="128" t="s">
        <v>207</v>
      </c>
      <c r="B309" s="128"/>
      <c r="C309" s="128"/>
      <c r="D309" s="128"/>
      <c r="E309" s="128"/>
      <c r="F309" s="128"/>
      <c r="G309" s="128"/>
    </row>
    <row r="310" spans="1:7" x14ac:dyDescent="0.35">
      <c r="A310" s="41"/>
      <c r="B310" s="41"/>
      <c r="C310" s="41"/>
      <c r="D310" s="41"/>
      <c r="E310" s="41"/>
      <c r="F310" s="41"/>
      <c r="G310" s="41"/>
    </row>
    <row r="311" spans="1:7" x14ac:dyDescent="0.35">
      <c r="A311" s="179" t="s">
        <v>519</v>
      </c>
      <c r="B311" s="179"/>
      <c r="C311" s="179"/>
      <c r="D311" s="179"/>
      <c r="E311" s="179"/>
      <c r="F311" s="179"/>
      <c r="G311" s="179"/>
    </row>
    <row r="312" spans="1:7" x14ac:dyDescent="0.35">
      <c r="A312" s="179"/>
      <c r="B312" s="179"/>
      <c r="C312" s="179"/>
      <c r="D312" s="179"/>
      <c r="E312" s="179"/>
      <c r="F312" s="179"/>
      <c r="G312" s="179"/>
    </row>
    <row r="313" spans="1:7" ht="15" thickBot="1" x14ac:dyDescent="0.4">
      <c r="A313" s="41"/>
      <c r="B313" s="41"/>
      <c r="C313" s="41"/>
      <c r="D313" s="41"/>
      <c r="E313" s="41"/>
      <c r="F313" s="41"/>
      <c r="G313" s="41"/>
    </row>
    <row r="314" spans="1:7" ht="15" thickBot="1" x14ac:dyDescent="0.4">
      <c r="A314" s="136" t="s">
        <v>61</v>
      </c>
      <c r="B314" s="136"/>
      <c r="C314" s="136"/>
      <c r="D314" s="136"/>
      <c r="E314" s="183"/>
      <c r="F314" s="174"/>
      <c r="G314" s="175"/>
    </row>
    <row r="315" spans="1:7" x14ac:dyDescent="0.35">
      <c r="A315" s="41"/>
      <c r="B315" s="41"/>
      <c r="C315" s="41"/>
      <c r="D315" s="41"/>
      <c r="E315" s="41"/>
      <c r="F315" s="41"/>
      <c r="G315" s="41"/>
    </row>
    <row r="316" spans="1:7" x14ac:dyDescent="0.35">
      <c r="A316" s="179" t="s">
        <v>213</v>
      </c>
      <c r="B316" s="179"/>
      <c r="C316" s="179"/>
      <c r="D316" s="179"/>
      <c r="E316" s="179"/>
      <c r="F316" s="179"/>
      <c r="G316" s="179"/>
    </row>
    <row r="317" spans="1:7" x14ac:dyDescent="0.35">
      <c r="A317" s="179"/>
      <c r="B317" s="179"/>
      <c r="C317" s="179"/>
      <c r="D317" s="179"/>
      <c r="E317" s="179"/>
      <c r="F317" s="179"/>
      <c r="G317" s="179"/>
    </row>
    <row r="318" spans="1:7" x14ac:dyDescent="0.35">
      <c r="A318" s="41"/>
      <c r="B318" s="41"/>
      <c r="C318" s="41"/>
      <c r="D318" s="41"/>
      <c r="E318" s="41"/>
      <c r="F318" s="41"/>
      <c r="G318" s="41"/>
    </row>
    <row r="319" spans="1:7" x14ac:dyDescent="0.35">
      <c r="A319" s="125" t="s">
        <v>118</v>
      </c>
      <c r="B319" s="125"/>
      <c r="C319" s="125"/>
      <c r="D319" s="125"/>
      <c r="E319" s="125"/>
      <c r="F319" s="125"/>
      <c r="G319" s="125"/>
    </row>
    <row r="320" spans="1:7" x14ac:dyDescent="0.35">
      <c r="A320" s="30"/>
      <c r="B320" s="30"/>
      <c r="C320" s="41"/>
      <c r="D320" s="41"/>
      <c r="E320" s="41"/>
      <c r="F320" s="41"/>
      <c r="G320" s="41"/>
    </row>
    <row r="321" spans="1:7" x14ac:dyDescent="0.35">
      <c r="A321" s="125" t="s">
        <v>119</v>
      </c>
      <c r="B321" s="125"/>
      <c r="C321" s="125"/>
      <c r="D321" s="125"/>
      <c r="E321" s="172"/>
      <c r="F321" s="178">
        <f>SUM(F149,27000,(27000*F314))</f>
        <v>27000</v>
      </c>
      <c r="G321" s="178"/>
    </row>
    <row r="322" spans="1:7" x14ac:dyDescent="0.35">
      <c r="A322" s="41"/>
      <c r="B322" s="41"/>
      <c r="C322" s="41"/>
      <c r="D322" s="41"/>
      <c r="E322" s="41"/>
      <c r="F322" s="41"/>
      <c r="G322" s="41"/>
    </row>
    <row r="323" spans="1:7" x14ac:dyDescent="0.35">
      <c r="A323" s="127" t="s">
        <v>361</v>
      </c>
      <c r="B323" s="127"/>
      <c r="C323" s="127"/>
      <c r="D323" s="127"/>
      <c r="E323" s="127"/>
      <c r="F323" s="127"/>
      <c r="G323" s="127"/>
    </row>
    <row r="324" spans="1:7" x14ac:dyDescent="0.35">
      <c r="A324" s="41"/>
      <c r="B324" s="41"/>
      <c r="C324" s="41"/>
      <c r="D324" s="41"/>
      <c r="E324" s="41"/>
      <c r="F324" s="41"/>
      <c r="G324" s="41"/>
    </row>
    <row r="325" spans="1:7" x14ac:dyDescent="0.35">
      <c r="A325" s="128" t="s">
        <v>366</v>
      </c>
      <c r="B325" s="128"/>
      <c r="C325" s="128"/>
      <c r="D325" s="128"/>
      <c r="E325" s="128"/>
      <c r="F325" s="128"/>
      <c r="G325" s="128"/>
    </row>
    <row r="326" spans="1:7" x14ac:dyDescent="0.35">
      <c r="A326" s="41"/>
      <c r="B326" s="41"/>
      <c r="C326" s="41"/>
      <c r="D326" s="41"/>
      <c r="E326" s="41"/>
      <c r="F326" s="41"/>
      <c r="G326" s="41"/>
    </row>
    <row r="327" spans="1:7" x14ac:dyDescent="0.35">
      <c r="A327" s="128" t="s">
        <v>65</v>
      </c>
      <c r="B327" s="128"/>
      <c r="C327" s="128"/>
      <c r="D327" s="128"/>
      <c r="E327" s="128"/>
      <c r="F327" s="128"/>
      <c r="G327" s="128"/>
    </row>
    <row r="328" spans="1:7" x14ac:dyDescent="0.35">
      <c r="A328" s="41"/>
      <c r="B328" s="41"/>
      <c r="C328" s="41"/>
      <c r="D328" s="41"/>
      <c r="E328" s="41"/>
      <c r="F328" s="41"/>
      <c r="G328" s="41"/>
    </row>
    <row r="329" spans="1:7" x14ac:dyDescent="0.35">
      <c r="A329" s="136" t="s">
        <v>66</v>
      </c>
      <c r="B329" s="136"/>
      <c r="C329" s="136"/>
      <c r="D329" s="136"/>
      <c r="E329" s="136"/>
      <c r="F329" s="136"/>
      <c r="G329" s="136"/>
    </row>
    <row r="330" spans="1:7" ht="15" thickBot="1" x14ac:dyDescent="0.4">
      <c r="A330" s="33"/>
      <c r="B330" s="33"/>
      <c r="C330" s="33"/>
      <c r="D330" s="33"/>
      <c r="E330" s="33"/>
      <c r="F330" s="33"/>
      <c r="G330" s="33"/>
    </row>
    <row r="331" spans="1:7" ht="15" thickBot="1" x14ac:dyDescent="0.4">
      <c r="A331" s="125" t="s">
        <v>67</v>
      </c>
      <c r="B331" s="172"/>
      <c r="C331" s="60"/>
      <c r="D331" s="41"/>
      <c r="E331" s="41"/>
      <c r="F331" s="174"/>
      <c r="G331" s="175"/>
    </row>
    <row r="332" spans="1:7" x14ac:dyDescent="0.35">
      <c r="A332" s="41"/>
      <c r="B332" s="41"/>
      <c r="C332" s="61"/>
      <c r="D332" s="41"/>
      <c r="E332" s="41"/>
      <c r="F332" s="41"/>
      <c r="G332" s="41"/>
    </row>
    <row r="333" spans="1:7" x14ac:dyDescent="0.35">
      <c r="A333" s="144" t="s">
        <v>141</v>
      </c>
      <c r="B333" s="144"/>
      <c r="C333" s="144"/>
      <c r="D333" s="144"/>
      <c r="E333" s="41"/>
      <c r="F333" s="41"/>
      <c r="G333" s="41"/>
    </row>
    <row r="334" spans="1:7" x14ac:dyDescent="0.35">
      <c r="A334" s="30"/>
      <c r="B334" s="33"/>
      <c r="C334" s="33"/>
      <c r="D334" s="33"/>
      <c r="E334" s="41"/>
      <c r="F334" s="41"/>
      <c r="G334" s="41"/>
    </row>
    <row r="335" spans="1:7" x14ac:dyDescent="0.35">
      <c r="A335" s="126" t="s">
        <v>142</v>
      </c>
      <c r="B335" s="173"/>
      <c r="C335" s="62"/>
      <c r="D335" s="39"/>
      <c r="E335" s="39"/>
      <c r="F335" s="176">
        <f>SUM(30000, (30000*F331))</f>
        <v>30000</v>
      </c>
      <c r="G335" s="177"/>
    </row>
    <row r="336" spans="1:7" x14ac:dyDescent="0.35">
      <c r="A336" s="41"/>
      <c r="B336" s="41"/>
      <c r="C336" s="41"/>
      <c r="D336" s="41"/>
      <c r="E336" s="41"/>
      <c r="F336" s="41"/>
      <c r="G336" s="41"/>
    </row>
    <row r="337" spans="1:7" x14ac:dyDescent="0.35">
      <c r="A337" s="127" t="s">
        <v>214</v>
      </c>
      <c r="B337" s="127"/>
      <c r="C337" s="127"/>
      <c r="D337" s="127"/>
      <c r="E337" s="127"/>
      <c r="F337" s="127"/>
      <c r="G337" s="127"/>
    </row>
    <row r="338" spans="1:7" x14ac:dyDescent="0.35">
      <c r="A338" s="41"/>
      <c r="B338" s="41"/>
      <c r="C338" s="41"/>
      <c r="D338" s="41"/>
      <c r="E338" s="41"/>
      <c r="F338" s="41"/>
      <c r="G338" s="41"/>
    </row>
    <row r="339" spans="1:7" x14ac:dyDescent="0.35">
      <c r="A339" s="125" t="s">
        <v>423</v>
      </c>
      <c r="B339" s="125"/>
      <c r="C339" s="125"/>
      <c r="D339" s="125"/>
      <c r="E339" s="125"/>
      <c r="F339" s="125"/>
      <c r="G339" s="125"/>
    </row>
    <row r="340" spans="1:7" x14ac:dyDescent="0.35">
      <c r="A340" s="41"/>
      <c r="B340" s="41"/>
      <c r="C340" s="41"/>
      <c r="D340" s="41"/>
      <c r="E340" s="41"/>
      <c r="F340" s="41"/>
      <c r="G340" s="41"/>
    </row>
    <row r="341" spans="1:7" x14ac:dyDescent="0.35">
      <c r="A341" s="136" t="s">
        <v>215</v>
      </c>
      <c r="B341" s="136"/>
      <c r="C341" s="136"/>
      <c r="D341" s="136"/>
      <c r="E341" s="136"/>
      <c r="F341" s="136"/>
      <c r="G341" s="136"/>
    </row>
    <row r="342" spans="1:7" x14ac:dyDescent="0.35">
      <c r="A342" s="136"/>
      <c r="B342" s="136"/>
      <c r="C342" s="136"/>
      <c r="D342" s="136"/>
      <c r="E342" s="136"/>
      <c r="F342" s="136"/>
      <c r="G342" s="136"/>
    </row>
    <row r="343" spans="1:7" x14ac:dyDescent="0.35">
      <c r="A343" s="34"/>
      <c r="B343" s="34"/>
      <c r="C343" s="34"/>
      <c r="D343" s="34"/>
      <c r="E343" s="34"/>
      <c r="F343" s="34"/>
      <c r="G343" s="34"/>
    </row>
    <row r="344" spans="1:7" x14ac:dyDescent="0.35">
      <c r="A344" s="169" t="s">
        <v>527</v>
      </c>
      <c r="B344" s="169"/>
      <c r="C344" s="169"/>
      <c r="D344" s="169"/>
      <c r="E344" s="169"/>
      <c r="F344" s="169"/>
      <c r="G344" s="169"/>
    </row>
    <row r="345" spans="1:7" x14ac:dyDescent="0.35">
      <c r="A345" s="34"/>
      <c r="B345" s="34"/>
      <c r="C345" s="34"/>
      <c r="D345" s="34"/>
      <c r="E345" s="34"/>
      <c r="F345" s="34"/>
      <c r="G345" s="34"/>
    </row>
    <row r="346" spans="1:7" x14ac:dyDescent="0.35">
      <c r="A346" s="170" t="s">
        <v>528</v>
      </c>
      <c r="B346" s="171"/>
      <c r="C346" s="171"/>
      <c r="D346" s="171"/>
      <c r="E346" s="171"/>
      <c r="F346" s="171"/>
      <c r="G346" s="171"/>
    </row>
    <row r="347" spans="1:7" ht="15" thickBot="1" x14ac:dyDescent="0.4">
      <c r="A347" s="34"/>
      <c r="B347" s="34"/>
      <c r="C347" s="34"/>
      <c r="D347" s="34"/>
      <c r="E347" s="34"/>
      <c r="F347" s="34"/>
      <c r="G347" s="34"/>
    </row>
    <row r="348" spans="1:7" ht="39.75" customHeight="1" thickBot="1" x14ac:dyDescent="0.4">
      <c r="A348" s="2" t="s">
        <v>4</v>
      </c>
      <c r="B348" s="2" t="s">
        <v>5</v>
      </c>
      <c r="C348" s="2" t="s">
        <v>28</v>
      </c>
      <c r="D348" s="154" t="s">
        <v>146</v>
      </c>
      <c r="E348" s="155"/>
      <c r="F348" s="34"/>
      <c r="G348" s="34"/>
    </row>
    <row r="349" spans="1:7" ht="15" thickBot="1" x14ac:dyDescent="0.4">
      <c r="A349" s="141">
        <v>1.1000000000000001</v>
      </c>
      <c r="B349" s="141" t="s">
        <v>176</v>
      </c>
      <c r="C349" s="140"/>
      <c r="D349" s="131" t="s">
        <v>515</v>
      </c>
      <c r="E349" s="131"/>
      <c r="F349" s="34"/>
      <c r="G349" s="34"/>
    </row>
    <row r="350" spans="1:7" ht="15" thickBot="1" x14ac:dyDescent="0.4">
      <c r="A350" s="142"/>
      <c r="B350" s="142"/>
      <c r="C350" s="140"/>
      <c r="D350" s="131"/>
      <c r="E350" s="131"/>
      <c r="F350" s="34"/>
      <c r="G350" s="34"/>
    </row>
    <row r="351" spans="1:7" ht="15.75" customHeight="1" thickBot="1" x14ac:dyDescent="0.4">
      <c r="A351" s="141">
        <v>1.2</v>
      </c>
      <c r="B351" s="141" t="s">
        <v>339</v>
      </c>
      <c r="C351" s="140"/>
      <c r="D351" s="131" t="s">
        <v>515</v>
      </c>
      <c r="E351" s="131"/>
      <c r="F351" s="34"/>
      <c r="G351" s="34"/>
    </row>
    <row r="352" spans="1:7" ht="15" thickBot="1" x14ac:dyDescent="0.4">
      <c r="A352" s="142"/>
      <c r="B352" s="142"/>
      <c r="C352" s="140"/>
      <c r="D352" s="131"/>
      <c r="E352" s="131"/>
      <c r="F352" s="34"/>
      <c r="G352" s="34"/>
    </row>
    <row r="353" spans="1:7" ht="15" thickBot="1" x14ac:dyDescent="0.4">
      <c r="A353" s="132" t="s">
        <v>159</v>
      </c>
      <c r="B353" s="134" t="s">
        <v>38</v>
      </c>
      <c r="C353" s="40" t="s">
        <v>31</v>
      </c>
      <c r="D353" s="131" t="s">
        <v>516</v>
      </c>
      <c r="E353" s="131"/>
      <c r="F353" s="34"/>
      <c r="G353" s="34"/>
    </row>
    <row r="354" spans="1:7" ht="15" customHeight="1" thickBot="1" x14ac:dyDescent="0.4">
      <c r="A354" s="133"/>
      <c r="B354" s="135"/>
      <c r="C354" s="40" t="s">
        <v>32</v>
      </c>
      <c r="D354" s="131" t="s">
        <v>516</v>
      </c>
      <c r="E354" s="131"/>
      <c r="F354" s="34"/>
      <c r="G354" s="34"/>
    </row>
    <row r="355" spans="1:7" ht="15" customHeight="1" thickBot="1" x14ac:dyDescent="0.4">
      <c r="A355" s="132" t="s">
        <v>160</v>
      </c>
      <c r="B355" s="134" t="s">
        <v>40</v>
      </c>
      <c r="C355" s="40" t="s">
        <v>31</v>
      </c>
      <c r="D355" s="131" t="s">
        <v>516</v>
      </c>
      <c r="E355" s="131"/>
      <c r="F355" s="34"/>
      <c r="G355" s="34"/>
    </row>
    <row r="356" spans="1:7" ht="15" customHeight="1" thickBot="1" x14ac:dyDescent="0.4">
      <c r="A356" s="133"/>
      <c r="B356" s="135"/>
      <c r="C356" s="40" t="s">
        <v>32</v>
      </c>
      <c r="D356" s="131" t="s">
        <v>516</v>
      </c>
      <c r="E356" s="131"/>
      <c r="F356" s="34"/>
      <c r="G356" s="34"/>
    </row>
    <row r="357" spans="1:7" ht="15" customHeight="1" thickBot="1" x14ac:dyDescent="0.4">
      <c r="A357" s="132" t="s">
        <v>161</v>
      </c>
      <c r="B357" s="134" t="s">
        <v>41</v>
      </c>
      <c r="C357" s="40" t="s">
        <v>31</v>
      </c>
      <c r="D357" s="131" t="s">
        <v>516</v>
      </c>
      <c r="E357" s="131"/>
      <c r="F357" s="34"/>
      <c r="G357" s="34"/>
    </row>
    <row r="358" spans="1:7" ht="15" customHeight="1" thickBot="1" x14ac:dyDescent="0.4">
      <c r="A358" s="133"/>
      <c r="B358" s="135"/>
      <c r="C358" s="40" t="s">
        <v>32</v>
      </c>
      <c r="D358" s="131" t="s">
        <v>516</v>
      </c>
      <c r="E358" s="131"/>
      <c r="F358" s="34"/>
      <c r="G358" s="34"/>
    </row>
    <row r="359" spans="1:7" ht="15" customHeight="1" thickBot="1" x14ac:dyDescent="0.4">
      <c r="A359" s="132" t="s">
        <v>162</v>
      </c>
      <c r="B359" s="134" t="s">
        <v>44</v>
      </c>
      <c r="C359" s="40" t="s">
        <v>31</v>
      </c>
      <c r="D359" s="131" t="s">
        <v>516</v>
      </c>
      <c r="E359" s="131"/>
      <c r="F359" s="34"/>
      <c r="G359" s="34"/>
    </row>
    <row r="360" spans="1:7" ht="15" customHeight="1" thickBot="1" x14ac:dyDescent="0.4">
      <c r="A360" s="133"/>
      <c r="B360" s="135"/>
      <c r="C360" s="40" t="s">
        <v>32</v>
      </c>
      <c r="D360" s="131" t="s">
        <v>516</v>
      </c>
      <c r="E360" s="131"/>
      <c r="F360" s="34"/>
      <c r="G360" s="34"/>
    </row>
    <row r="361" spans="1:7" ht="15" customHeight="1" thickBot="1" x14ac:dyDescent="0.4">
      <c r="A361" s="132" t="s">
        <v>163</v>
      </c>
      <c r="B361" s="134" t="s">
        <v>45</v>
      </c>
      <c r="C361" s="40" t="s">
        <v>31</v>
      </c>
      <c r="D361" s="131" t="s">
        <v>516</v>
      </c>
      <c r="E361" s="131"/>
      <c r="F361" s="34"/>
      <c r="G361" s="34"/>
    </row>
    <row r="362" spans="1:7" ht="15" customHeight="1" thickBot="1" x14ac:dyDescent="0.4">
      <c r="A362" s="133"/>
      <c r="B362" s="135"/>
      <c r="C362" s="40" t="s">
        <v>32</v>
      </c>
      <c r="D362" s="131" t="s">
        <v>516</v>
      </c>
      <c r="E362" s="131"/>
      <c r="F362" s="34"/>
      <c r="G362" s="34"/>
    </row>
    <row r="363" spans="1:7" ht="15" customHeight="1" thickBot="1" x14ac:dyDescent="0.4">
      <c r="A363" s="132" t="s">
        <v>148</v>
      </c>
      <c r="B363" s="134" t="s">
        <v>46</v>
      </c>
      <c r="C363" s="40" t="s">
        <v>31</v>
      </c>
      <c r="D363" s="131" t="s">
        <v>516</v>
      </c>
      <c r="E363" s="131"/>
      <c r="F363" s="34"/>
      <c r="G363" s="34"/>
    </row>
    <row r="364" spans="1:7" ht="15" customHeight="1" thickBot="1" x14ac:dyDescent="0.4">
      <c r="A364" s="133"/>
      <c r="B364" s="135"/>
      <c r="C364" s="40" t="s">
        <v>32</v>
      </c>
      <c r="D364" s="131" t="s">
        <v>516</v>
      </c>
      <c r="E364" s="131"/>
      <c r="F364" s="34"/>
      <c r="G364" s="34"/>
    </row>
    <row r="365" spans="1:7" ht="15" customHeight="1" thickBot="1" x14ac:dyDescent="0.4">
      <c r="A365" s="132" t="s">
        <v>164</v>
      </c>
      <c r="B365" s="134" t="s">
        <v>47</v>
      </c>
      <c r="C365" s="40" t="s">
        <v>31</v>
      </c>
      <c r="D365" s="131" t="s">
        <v>516</v>
      </c>
      <c r="E365" s="131"/>
      <c r="F365" s="34"/>
      <c r="G365" s="34"/>
    </row>
    <row r="366" spans="1:7" ht="15" customHeight="1" thickBot="1" x14ac:dyDescent="0.4">
      <c r="A366" s="133"/>
      <c r="B366" s="135"/>
      <c r="C366" s="40" t="s">
        <v>32</v>
      </c>
      <c r="D366" s="131" t="s">
        <v>516</v>
      </c>
      <c r="E366" s="131"/>
      <c r="F366" s="34"/>
      <c r="G366" s="34"/>
    </row>
    <row r="367" spans="1:7" ht="15" customHeight="1" thickBot="1" x14ac:dyDescent="0.4">
      <c r="A367" s="132" t="s">
        <v>21</v>
      </c>
      <c r="B367" s="134" t="s">
        <v>48</v>
      </c>
      <c r="C367" s="40" t="s">
        <v>31</v>
      </c>
      <c r="D367" s="131" t="s">
        <v>516</v>
      </c>
      <c r="E367" s="131"/>
      <c r="F367" s="34"/>
      <c r="G367" s="34"/>
    </row>
    <row r="368" spans="1:7" ht="15" customHeight="1" thickBot="1" x14ac:dyDescent="0.4">
      <c r="A368" s="133"/>
      <c r="B368" s="135"/>
      <c r="C368" s="40" t="s">
        <v>32</v>
      </c>
      <c r="D368" s="131" t="s">
        <v>516</v>
      </c>
      <c r="E368" s="131"/>
      <c r="F368" s="34"/>
      <c r="G368" s="34"/>
    </row>
    <row r="369" spans="1:7" ht="15" customHeight="1" thickBot="1" x14ac:dyDescent="0.4">
      <c r="A369" s="132" t="s">
        <v>37</v>
      </c>
      <c r="B369" s="134" t="s">
        <v>49</v>
      </c>
      <c r="C369" s="40" t="s">
        <v>31</v>
      </c>
      <c r="D369" s="131" t="s">
        <v>516</v>
      </c>
      <c r="E369" s="131"/>
      <c r="F369" s="34"/>
      <c r="G369" s="34"/>
    </row>
    <row r="370" spans="1:7" ht="15" customHeight="1" thickBot="1" x14ac:dyDescent="0.4">
      <c r="A370" s="133"/>
      <c r="B370" s="135"/>
      <c r="C370" s="40" t="s">
        <v>32</v>
      </c>
      <c r="D370" s="131" t="s">
        <v>516</v>
      </c>
      <c r="E370" s="131"/>
      <c r="F370" s="34"/>
      <c r="G370" s="34"/>
    </row>
    <row r="371" spans="1:7" ht="15" customHeight="1" thickBot="1" x14ac:dyDescent="0.4">
      <c r="A371" s="132" t="s">
        <v>39</v>
      </c>
      <c r="B371" s="134" t="s">
        <v>51</v>
      </c>
      <c r="C371" s="40" t="s">
        <v>31</v>
      </c>
      <c r="D371" s="131" t="s">
        <v>516</v>
      </c>
      <c r="E371" s="131"/>
      <c r="F371" s="34"/>
      <c r="G371" s="34"/>
    </row>
    <row r="372" spans="1:7" ht="15" customHeight="1" thickBot="1" x14ac:dyDescent="0.4">
      <c r="A372" s="133"/>
      <c r="B372" s="135"/>
      <c r="C372" s="40" t="s">
        <v>32</v>
      </c>
      <c r="D372" s="131" t="s">
        <v>516</v>
      </c>
      <c r="E372" s="131"/>
      <c r="F372" s="34"/>
      <c r="G372" s="34"/>
    </row>
    <row r="373" spans="1:7" ht="15" customHeight="1" x14ac:dyDescent="0.35">
      <c r="A373" s="29"/>
      <c r="B373" s="16"/>
      <c r="C373" s="16"/>
      <c r="D373" s="17"/>
      <c r="E373" s="17"/>
      <c r="F373" s="34"/>
      <c r="G373" s="34"/>
    </row>
    <row r="374" spans="1:7" ht="15" customHeight="1" x14ac:dyDescent="0.35">
      <c r="A374" s="119" t="s">
        <v>362</v>
      </c>
      <c r="B374" s="119"/>
      <c r="C374" s="119"/>
      <c r="D374" s="119"/>
      <c r="E374" s="119"/>
      <c r="F374" s="34"/>
      <c r="G374" s="34"/>
    </row>
    <row r="375" spans="1:7" ht="15" customHeight="1" x14ac:dyDescent="0.35">
      <c r="A375" s="29"/>
      <c r="B375" s="16"/>
      <c r="C375" s="16"/>
      <c r="D375" s="17"/>
      <c r="E375" s="17"/>
      <c r="F375" s="34"/>
      <c r="G375" s="34"/>
    </row>
    <row r="376" spans="1:7" ht="15" customHeight="1" x14ac:dyDescent="0.35">
      <c r="A376" s="120" t="s">
        <v>423</v>
      </c>
      <c r="B376" s="120"/>
      <c r="C376" s="120"/>
      <c r="D376" s="120"/>
      <c r="E376" s="120"/>
      <c r="F376" s="34"/>
      <c r="G376" s="34"/>
    </row>
    <row r="377" spans="1:7" ht="15" customHeight="1" x14ac:dyDescent="0.35">
      <c r="A377" s="29"/>
      <c r="B377" s="16"/>
      <c r="C377" s="16"/>
      <c r="D377" s="17"/>
      <c r="E377" s="17"/>
      <c r="F377" s="34"/>
      <c r="G377" s="34"/>
    </row>
    <row r="378" spans="1:7" ht="15" customHeight="1" x14ac:dyDescent="0.35">
      <c r="A378" s="121" t="s">
        <v>363</v>
      </c>
      <c r="B378" s="121"/>
      <c r="C378" s="121"/>
      <c r="D378" s="121"/>
      <c r="E378" s="121"/>
      <c r="F378" s="121"/>
      <c r="G378" s="121"/>
    </row>
    <row r="379" spans="1:7" ht="15" customHeight="1" x14ac:dyDescent="0.35">
      <c r="A379" s="92"/>
      <c r="B379" s="92"/>
      <c r="C379" s="92"/>
      <c r="D379" s="92"/>
      <c r="E379" s="92"/>
      <c r="F379" s="92"/>
      <c r="G379" s="92"/>
    </row>
    <row r="380" spans="1:7" x14ac:dyDescent="0.35">
      <c r="A380" s="122" t="s">
        <v>527</v>
      </c>
      <c r="B380" s="122"/>
      <c r="C380" s="122"/>
      <c r="D380" s="122"/>
      <c r="E380" s="122"/>
      <c r="F380" s="122"/>
      <c r="G380" s="122"/>
    </row>
    <row r="381" spans="1:7" x14ac:dyDescent="0.35">
      <c r="A381" s="29"/>
      <c r="B381" s="29"/>
      <c r="C381" s="29"/>
      <c r="D381" s="29"/>
      <c r="E381" s="29"/>
      <c r="F381" s="29"/>
      <c r="G381" s="29"/>
    </row>
    <row r="382" spans="1:7" x14ac:dyDescent="0.35">
      <c r="A382" s="127" t="s">
        <v>216</v>
      </c>
      <c r="B382" s="127"/>
      <c r="C382" s="127"/>
      <c r="D382" s="127"/>
      <c r="E382" s="127"/>
      <c r="F382" s="127"/>
      <c r="G382" s="127"/>
    </row>
    <row r="383" spans="1:7" x14ac:dyDescent="0.35">
      <c r="A383" s="41"/>
      <c r="B383" s="41"/>
      <c r="C383" s="41"/>
      <c r="D383" s="41"/>
      <c r="E383" s="41"/>
      <c r="F383" s="41"/>
      <c r="G383" s="41"/>
    </row>
    <row r="384" spans="1:7" x14ac:dyDescent="0.35">
      <c r="A384" s="128" t="s">
        <v>217</v>
      </c>
      <c r="B384" s="128"/>
      <c r="C384" s="128"/>
      <c r="D384" s="128"/>
      <c r="E384" s="128"/>
      <c r="F384" s="128"/>
      <c r="G384" s="128"/>
    </row>
    <row r="385" spans="1:7" x14ac:dyDescent="0.35">
      <c r="A385" s="33"/>
      <c r="B385" s="33"/>
      <c r="C385" s="33"/>
      <c r="D385" s="33"/>
      <c r="E385" s="33"/>
      <c r="F385" s="33"/>
      <c r="G385" s="33"/>
    </row>
    <row r="386" spans="1:7" x14ac:dyDescent="0.35">
      <c r="A386" s="136" t="s">
        <v>218</v>
      </c>
      <c r="B386" s="136"/>
      <c r="C386" s="136"/>
      <c r="D386" s="136"/>
      <c r="E386" s="136"/>
      <c r="F386" s="136"/>
      <c r="G386" s="136"/>
    </row>
    <row r="387" spans="1:7" x14ac:dyDescent="0.35">
      <c r="A387" s="136"/>
      <c r="B387" s="136"/>
      <c r="C387" s="136"/>
      <c r="D387" s="136"/>
      <c r="E387" s="136"/>
      <c r="F387" s="136"/>
      <c r="G387" s="136"/>
    </row>
    <row r="388" spans="1:7" x14ac:dyDescent="0.35">
      <c r="A388" s="34"/>
      <c r="B388" s="34"/>
      <c r="C388" s="34"/>
      <c r="D388" s="34"/>
      <c r="E388" s="34"/>
      <c r="F388" s="34"/>
      <c r="G388" s="34"/>
    </row>
    <row r="389" spans="1:7" x14ac:dyDescent="0.35">
      <c r="A389" s="136" t="s">
        <v>219</v>
      </c>
      <c r="B389" s="136"/>
      <c r="C389" s="136"/>
      <c r="D389" s="136"/>
      <c r="E389" s="136"/>
      <c r="F389" s="136"/>
      <c r="G389" s="136"/>
    </row>
    <row r="390" spans="1:7" x14ac:dyDescent="0.35">
      <c r="A390" s="136"/>
      <c r="B390" s="136"/>
      <c r="C390" s="136"/>
      <c r="D390" s="136"/>
      <c r="E390" s="136"/>
      <c r="F390" s="136"/>
      <c r="G390" s="136"/>
    </row>
    <row r="391" spans="1:7" x14ac:dyDescent="0.35">
      <c r="A391" s="41"/>
      <c r="B391" s="41"/>
      <c r="C391" s="41"/>
      <c r="D391" s="41"/>
      <c r="E391" s="41"/>
      <c r="F391" s="41"/>
      <c r="G391" s="41"/>
    </row>
    <row r="392" spans="1:7" x14ac:dyDescent="0.35">
      <c r="A392" s="168" t="s">
        <v>157</v>
      </c>
      <c r="B392" s="168"/>
      <c r="C392" s="168"/>
      <c r="D392" s="168"/>
      <c r="E392" s="168"/>
      <c r="F392" s="168"/>
      <c r="G392" s="168"/>
    </row>
    <row r="393" spans="1:7" x14ac:dyDescent="0.35">
      <c r="A393" s="168"/>
      <c r="B393" s="168"/>
      <c r="C393" s="168"/>
      <c r="D393" s="168"/>
      <c r="E393" s="168"/>
      <c r="F393" s="168"/>
      <c r="G393" s="168"/>
    </row>
    <row r="394" spans="1:7" x14ac:dyDescent="0.35">
      <c r="A394" s="168"/>
      <c r="B394" s="168"/>
      <c r="C394" s="168"/>
      <c r="D394" s="168"/>
      <c r="E394" s="168"/>
      <c r="F394" s="168"/>
      <c r="G394" s="168"/>
    </row>
    <row r="395" spans="1:7" x14ac:dyDescent="0.35">
      <c r="A395" s="63"/>
      <c r="B395" s="63"/>
      <c r="C395" s="63"/>
      <c r="D395" s="63"/>
      <c r="E395" s="63"/>
      <c r="F395" s="63"/>
      <c r="G395" s="63"/>
    </row>
    <row r="396" spans="1:7" x14ac:dyDescent="0.35">
      <c r="A396" s="162"/>
      <c r="B396" s="163"/>
      <c r="C396" s="163"/>
      <c r="D396" s="163"/>
      <c r="E396" s="163"/>
      <c r="F396" s="163"/>
      <c r="G396" s="164"/>
    </row>
    <row r="397" spans="1:7" x14ac:dyDescent="0.35">
      <c r="A397" s="165"/>
      <c r="B397" s="166"/>
      <c r="C397" s="166"/>
      <c r="D397" s="166"/>
      <c r="E397" s="166"/>
      <c r="F397" s="166"/>
      <c r="G397" s="167"/>
    </row>
    <row r="398" spans="1:7" x14ac:dyDescent="0.35">
      <c r="A398" s="41"/>
      <c r="B398" s="41"/>
      <c r="C398" s="41"/>
      <c r="D398" s="41"/>
      <c r="E398" s="41"/>
      <c r="F398" s="41"/>
      <c r="G398" s="41"/>
    </row>
    <row r="399" spans="1:7" x14ac:dyDescent="0.35">
      <c r="A399" s="128" t="s">
        <v>220</v>
      </c>
      <c r="B399" s="128"/>
      <c r="C399" s="128"/>
      <c r="D399" s="128"/>
      <c r="E399" s="128"/>
      <c r="F399" s="128"/>
      <c r="G399" s="41"/>
    </row>
    <row r="400" spans="1:7" x14ac:dyDescent="0.35">
      <c r="A400" s="41"/>
      <c r="B400" s="41"/>
      <c r="C400" s="41"/>
      <c r="D400" s="41"/>
      <c r="E400" s="41"/>
      <c r="F400" s="41"/>
      <c r="G400" s="41"/>
    </row>
    <row r="401" spans="1:7" x14ac:dyDescent="0.35">
      <c r="A401" s="127" t="s">
        <v>221</v>
      </c>
      <c r="B401" s="127"/>
      <c r="C401" s="127"/>
      <c r="D401" s="127"/>
      <c r="E401" s="127"/>
      <c r="F401" s="127"/>
      <c r="G401" s="127"/>
    </row>
    <row r="402" spans="1:7" x14ac:dyDescent="0.35">
      <c r="A402" s="41"/>
      <c r="B402" s="41"/>
      <c r="C402" s="41"/>
      <c r="D402" s="41"/>
      <c r="E402" s="41"/>
      <c r="F402" s="41"/>
      <c r="G402" s="41"/>
    </row>
    <row r="403" spans="1:7" x14ac:dyDescent="0.35">
      <c r="A403" s="127" t="s">
        <v>120</v>
      </c>
      <c r="B403" s="127"/>
      <c r="C403" s="127"/>
      <c r="D403" s="127"/>
      <c r="E403" s="127"/>
      <c r="F403" s="127"/>
      <c r="G403" s="127"/>
    </row>
    <row r="404" spans="1:7" x14ac:dyDescent="0.35">
      <c r="A404" s="64"/>
      <c r="B404" s="64"/>
      <c r="C404" s="64"/>
      <c r="D404" s="64"/>
      <c r="E404" s="64"/>
      <c r="F404" s="64"/>
      <c r="G404" s="64"/>
    </row>
    <row r="405" spans="1:7" x14ac:dyDescent="0.35">
      <c r="A405" s="124" t="s">
        <v>143</v>
      </c>
      <c r="B405" s="124"/>
      <c r="C405" s="124"/>
      <c r="D405" s="124"/>
      <c r="E405" s="124"/>
      <c r="F405" s="124"/>
      <c r="G405" s="124"/>
    </row>
    <row r="406" spans="1:7" x14ac:dyDescent="0.35">
      <c r="A406" s="41"/>
      <c r="B406" s="41"/>
      <c r="C406" s="41"/>
      <c r="D406" s="41"/>
      <c r="E406" s="41"/>
      <c r="F406" s="41"/>
      <c r="G406" s="41"/>
    </row>
    <row r="407" spans="1:7" x14ac:dyDescent="0.35">
      <c r="A407" s="123" t="s">
        <v>364</v>
      </c>
      <c r="B407" s="124"/>
      <c r="C407" s="124"/>
      <c r="D407" s="124"/>
      <c r="E407" s="124"/>
      <c r="F407" s="124"/>
      <c r="G407" s="124"/>
    </row>
    <row r="408" spans="1:7" x14ac:dyDescent="0.35">
      <c r="A408" s="32"/>
      <c r="B408" s="33"/>
      <c r="C408" s="33"/>
      <c r="D408" s="33"/>
      <c r="E408" s="33"/>
      <c r="F408" s="33"/>
      <c r="G408" s="33"/>
    </row>
    <row r="409" spans="1:7" x14ac:dyDescent="0.35">
      <c r="A409" s="125" t="s">
        <v>423</v>
      </c>
      <c r="B409" s="125"/>
      <c r="C409" s="125"/>
      <c r="D409" s="125"/>
      <c r="E409" s="125"/>
      <c r="F409" s="125"/>
      <c r="G409" s="125"/>
    </row>
    <row r="410" spans="1:7" x14ac:dyDescent="0.35">
      <c r="A410" s="28"/>
      <c r="B410" s="28"/>
      <c r="C410" s="28"/>
      <c r="D410" s="28"/>
      <c r="E410" s="28"/>
      <c r="F410" s="28"/>
      <c r="G410" s="28"/>
    </row>
    <row r="411" spans="1:7" x14ac:dyDescent="0.35">
      <c r="A411" s="121" t="s">
        <v>365</v>
      </c>
      <c r="B411" s="121"/>
      <c r="C411" s="121"/>
      <c r="D411" s="121"/>
      <c r="E411" s="121"/>
      <c r="F411" s="121"/>
      <c r="G411" s="121"/>
    </row>
    <row r="412" spans="1:7" x14ac:dyDescent="0.35">
      <c r="A412" s="29"/>
      <c r="B412" s="29"/>
      <c r="C412" s="29"/>
      <c r="D412" s="29"/>
      <c r="E412" s="29"/>
      <c r="F412" s="29"/>
      <c r="G412" s="29"/>
    </row>
    <row r="413" spans="1:7" x14ac:dyDescent="0.35">
      <c r="A413" s="122" t="s">
        <v>527</v>
      </c>
      <c r="B413" s="122"/>
      <c r="C413" s="122"/>
      <c r="D413" s="122"/>
      <c r="E413" s="122"/>
      <c r="F413" s="122"/>
      <c r="G413" s="122"/>
    </row>
    <row r="414" spans="1:7" x14ac:dyDescent="0.35">
      <c r="A414" s="29"/>
      <c r="B414" s="29"/>
      <c r="C414" s="29"/>
      <c r="D414" s="29"/>
      <c r="E414" s="29"/>
      <c r="F414" s="29"/>
      <c r="G414" s="29"/>
    </row>
    <row r="415" spans="1:7" x14ac:dyDescent="0.35">
      <c r="A415" s="127" t="s">
        <v>222</v>
      </c>
      <c r="B415" s="128"/>
      <c r="C415" s="128"/>
      <c r="D415" s="128"/>
      <c r="E415" s="128"/>
      <c r="F415" s="128"/>
      <c r="G415" s="128"/>
    </row>
    <row r="416" spans="1:7" x14ac:dyDescent="0.35">
      <c r="A416" s="41"/>
      <c r="B416" s="41"/>
      <c r="C416" s="41"/>
      <c r="D416" s="41"/>
      <c r="E416" s="41"/>
      <c r="F416" s="41"/>
      <c r="G416" s="41"/>
    </row>
    <row r="417" spans="1:7" x14ac:dyDescent="0.35">
      <c r="A417" s="128" t="s">
        <v>367</v>
      </c>
      <c r="B417" s="127"/>
      <c r="C417" s="127"/>
      <c r="D417" s="127"/>
      <c r="E417" s="127"/>
      <c r="F417" s="127"/>
      <c r="G417" s="127"/>
    </row>
    <row r="418" spans="1:7" ht="15" thickBot="1" x14ac:dyDescent="0.4">
      <c r="A418" s="41"/>
      <c r="B418" s="41"/>
      <c r="C418" s="41"/>
      <c r="D418" s="41"/>
      <c r="E418" s="41"/>
      <c r="F418" s="41"/>
      <c r="G418" s="41"/>
    </row>
    <row r="419" spans="1:7" ht="15" thickBot="1" x14ac:dyDescent="0.4">
      <c r="A419" s="153" t="s">
        <v>193</v>
      </c>
      <c r="B419" s="153"/>
      <c r="C419" s="154" t="s">
        <v>1</v>
      </c>
      <c r="D419" s="155"/>
      <c r="E419" s="14" t="s">
        <v>2</v>
      </c>
      <c r="F419" s="154" t="s">
        <v>3</v>
      </c>
      <c r="G419" s="155"/>
    </row>
    <row r="420" spans="1:7" ht="26.5" thickBot="1" x14ac:dyDescent="0.4">
      <c r="A420" s="2" t="s">
        <v>4</v>
      </c>
      <c r="B420" s="2" t="s">
        <v>5</v>
      </c>
      <c r="C420" s="154" t="s">
        <v>431</v>
      </c>
      <c r="D420" s="155"/>
      <c r="E420" s="2" t="s">
        <v>68</v>
      </c>
      <c r="F420" s="154" t="s">
        <v>8</v>
      </c>
      <c r="G420" s="155"/>
    </row>
    <row r="421" spans="1:7" ht="15.75" customHeight="1" thickBot="1" x14ac:dyDescent="0.4">
      <c r="A421" s="8" t="s">
        <v>81</v>
      </c>
      <c r="B421" s="9" t="s">
        <v>195</v>
      </c>
      <c r="C421" s="9"/>
      <c r="D421" s="9"/>
      <c r="E421" s="9"/>
      <c r="F421" s="9"/>
      <c r="G421" s="10"/>
    </row>
    <row r="422" spans="1:7" ht="15" thickBot="1" x14ac:dyDescent="0.4">
      <c r="A422" s="49">
        <v>1.1000000000000001</v>
      </c>
      <c r="B422" s="43" t="s">
        <v>69</v>
      </c>
      <c r="C422" s="129" t="s">
        <v>424</v>
      </c>
      <c r="D422" s="130"/>
      <c r="E422" s="83"/>
      <c r="F422" s="117">
        <f>55000*E422</f>
        <v>0</v>
      </c>
      <c r="G422" s="118"/>
    </row>
    <row r="423" spans="1:7" ht="15" thickBot="1" x14ac:dyDescent="0.4">
      <c r="A423" s="49">
        <v>1.2</v>
      </c>
      <c r="B423" s="58" t="s">
        <v>177</v>
      </c>
      <c r="C423" s="129" t="s">
        <v>425</v>
      </c>
      <c r="D423" s="130"/>
      <c r="E423" s="83"/>
      <c r="F423" s="117">
        <f>12000*E423</f>
        <v>0</v>
      </c>
      <c r="G423" s="118"/>
    </row>
    <row r="424" spans="1:7" ht="15" thickBot="1" x14ac:dyDescent="0.4">
      <c r="A424" s="49">
        <v>1.3</v>
      </c>
      <c r="B424" s="43" t="s">
        <v>340</v>
      </c>
      <c r="C424" s="129" t="s">
        <v>426</v>
      </c>
      <c r="D424" s="130"/>
      <c r="E424" s="83"/>
      <c r="F424" s="117">
        <f>13000*E424</f>
        <v>0</v>
      </c>
      <c r="G424" s="118"/>
    </row>
    <row r="425" spans="1:7" ht="15" thickBot="1" x14ac:dyDescent="0.4">
      <c r="A425" s="44" t="s">
        <v>80</v>
      </c>
      <c r="B425" s="45" t="s">
        <v>197</v>
      </c>
      <c r="C425" s="137"/>
      <c r="D425" s="138"/>
      <c r="E425" s="46"/>
      <c r="F425" s="137"/>
      <c r="G425" s="139"/>
    </row>
    <row r="426" spans="1:7" ht="15" thickBot="1" x14ac:dyDescent="0.4">
      <c r="A426" s="49">
        <v>2.1</v>
      </c>
      <c r="B426" s="43" t="s">
        <v>69</v>
      </c>
      <c r="C426" s="129" t="s">
        <v>427</v>
      </c>
      <c r="D426" s="130"/>
      <c r="E426" s="84"/>
      <c r="F426" s="160">
        <f>47100*E426</f>
        <v>0</v>
      </c>
      <c r="G426" s="161"/>
    </row>
    <row r="427" spans="1:7" ht="15" thickBot="1" x14ac:dyDescent="0.4">
      <c r="A427" s="49">
        <v>2.2000000000000002</v>
      </c>
      <c r="B427" s="58" t="s">
        <v>177</v>
      </c>
      <c r="C427" s="129" t="s">
        <v>428</v>
      </c>
      <c r="D427" s="130"/>
      <c r="E427" s="84"/>
      <c r="F427" s="160">
        <f>8000*E427</f>
        <v>0</v>
      </c>
      <c r="G427" s="161"/>
    </row>
    <row r="428" spans="1:7" ht="15" thickBot="1" x14ac:dyDescent="0.4">
      <c r="A428" s="49">
        <v>2.2999999999999998</v>
      </c>
      <c r="B428" s="43" t="s">
        <v>340</v>
      </c>
      <c r="C428" s="129" t="s">
        <v>428</v>
      </c>
      <c r="D428" s="130"/>
      <c r="E428" s="84"/>
      <c r="F428" s="160">
        <f>8000*E428</f>
        <v>0</v>
      </c>
      <c r="G428" s="161"/>
    </row>
    <row r="429" spans="1:7" ht="15" thickBot="1" x14ac:dyDescent="0.4">
      <c r="A429" s="47" t="s">
        <v>82</v>
      </c>
      <c r="B429" s="45" t="s">
        <v>199</v>
      </c>
      <c r="C429" s="46"/>
      <c r="D429" s="46"/>
      <c r="E429" s="46"/>
      <c r="F429" s="137"/>
      <c r="G429" s="139"/>
    </row>
    <row r="430" spans="1:7" ht="15" thickBot="1" x14ac:dyDescent="0.4">
      <c r="A430" s="49">
        <v>3.1</v>
      </c>
      <c r="B430" s="43" t="s">
        <v>69</v>
      </c>
      <c r="C430" s="129" t="s">
        <v>429</v>
      </c>
      <c r="D430" s="130"/>
      <c r="E430" s="85"/>
      <c r="F430" s="160">
        <f>27000*E430</f>
        <v>0</v>
      </c>
      <c r="G430" s="161"/>
    </row>
    <row r="431" spans="1:7" ht="15" thickBot="1" x14ac:dyDescent="0.4">
      <c r="A431" s="49">
        <v>3.2</v>
      </c>
      <c r="B431" s="58" t="s">
        <v>177</v>
      </c>
      <c r="C431" s="129" t="s">
        <v>430</v>
      </c>
      <c r="D431" s="130"/>
      <c r="E431" s="85"/>
      <c r="F431" s="160">
        <f>6000*E431</f>
        <v>0</v>
      </c>
      <c r="G431" s="161"/>
    </row>
    <row r="432" spans="1:7" ht="15" thickBot="1" x14ac:dyDescent="0.4">
      <c r="A432" s="49">
        <v>3.3</v>
      </c>
      <c r="B432" s="43" t="s">
        <v>340</v>
      </c>
      <c r="C432" s="129" t="s">
        <v>430</v>
      </c>
      <c r="D432" s="130"/>
      <c r="E432" s="84"/>
      <c r="F432" s="160">
        <f>6000*E432</f>
        <v>0</v>
      </c>
      <c r="G432" s="161"/>
    </row>
    <row r="433" spans="1:7" x14ac:dyDescent="0.35">
      <c r="A433" s="41"/>
      <c r="B433" s="41"/>
      <c r="C433" s="41"/>
      <c r="D433" s="41"/>
      <c r="E433" s="41"/>
      <c r="F433" s="41"/>
      <c r="G433" s="41"/>
    </row>
    <row r="434" spans="1:7" x14ac:dyDescent="0.35">
      <c r="A434" s="145" t="s">
        <v>223</v>
      </c>
      <c r="B434" s="145"/>
      <c r="C434" s="145"/>
      <c r="D434" s="145"/>
      <c r="E434" s="145"/>
      <c r="F434" s="146">
        <f>SUM(F422:G424,F426:G428,F430:G432)</f>
        <v>0</v>
      </c>
      <c r="G434" s="146"/>
    </row>
    <row r="435" spans="1:7" x14ac:dyDescent="0.35">
      <c r="A435" s="41"/>
      <c r="B435" s="41"/>
      <c r="C435" s="41"/>
      <c r="D435" s="41"/>
      <c r="E435" s="41"/>
      <c r="F435" s="41"/>
      <c r="G435" s="41"/>
    </row>
    <row r="436" spans="1:7" x14ac:dyDescent="0.35">
      <c r="A436" s="127" t="s">
        <v>224</v>
      </c>
      <c r="B436" s="127"/>
      <c r="C436" s="127"/>
      <c r="D436" s="127"/>
      <c r="E436" s="127"/>
      <c r="F436" s="127"/>
      <c r="G436" s="127"/>
    </row>
    <row r="437" spans="1:7" x14ac:dyDescent="0.35">
      <c r="A437" s="41"/>
      <c r="B437" s="41"/>
      <c r="C437" s="41"/>
      <c r="D437" s="41"/>
      <c r="E437" s="41"/>
      <c r="F437" s="41"/>
      <c r="G437" s="41"/>
    </row>
    <row r="438" spans="1:7" x14ac:dyDescent="0.35">
      <c r="A438" s="128" t="s">
        <v>367</v>
      </c>
      <c r="B438" s="127"/>
      <c r="C438" s="127"/>
      <c r="D438" s="127"/>
      <c r="E438" s="127"/>
      <c r="F438" s="127"/>
      <c r="G438" s="127"/>
    </row>
    <row r="439" spans="1:7" x14ac:dyDescent="0.35">
      <c r="A439" s="33"/>
      <c r="B439" s="32"/>
      <c r="C439" s="32"/>
      <c r="D439" s="32"/>
      <c r="E439" s="32"/>
      <c r="F439" s="32"/>
      <c r="G439" s="32"/>
    </row>
    <row r="440" spans="1:7" x14ac:dyDescent="0.35">
      <c r="A440" s="126" t="s">
        <v>139</v>
      </c>
      <c r="B440" s="126"/>
      <c r="C440" s="126"/>
      <c r="D440" s="126"/>
      <c r="E440" s="126"/>
      <c r="F440" s="126"/>
      <c r="G440" s="126"/>
    </row>
    <row r="441" spans="1:7" x14ac:dyDescent="0.35">
      <c r="A441" s="126"/>
      <c r="B441" s="126"/>
      <c r="C441" s="126"/>
      <c r="D441" s="126"/>
      <c r="E441" s="126"/>
      <c r="F441" s="126"/>
      <c r="G441" s="126"/>
    </row>
    <row r="442" spans="1:7" x14ac:dyDescent="0.35">
      <c r="A442" s="30"/>
      <c r="B442" s="30"/>
      <c r="C442" s="30"/>
      <c r="D442" s="30"/>
      <c r="E442" s="30"/>
      <c r="F442" s="30"/>
      <c r="G442" s="30"/>
    </row>
    <row r="443" spans="1:7" x14ac:dyDescent="0.35">
      <c r="A443" s="159" t="s">
        <v>62</v>
      </c>
      <c r="B443" s="159"/>
      <c r="C443" s="159"/>
      <c r="D443" s="159"/>
      <c r="E443" s="159"/>
      <c r="F443" s="159"/>
      <c r="G443" s="159"/>
    </row>
    <row r="444" spans="1:7" x14ac:dyDescent="0.35">
      <c r="A444" s="159"/>
      <c r="B444" s="159"/>
      <c r="C444" s="159"/>
      <c r="D444" s="159"/>
      <c r="E444" s="159"/>
      <c r="F444" s="159"/>
      <c r="G444" s="159"/>
    </row>
    <row r="445" spans="1:7" x14ac:dyDescent="0.35">
      <c r="A445" s="159"/>
      <c r="B445" s="159"/>
      <c r="C445" s="159"/>
      <c r="D445" s="159"/>
      <c r="E445" s="159"/>
      <c r="F445" s="159"/>
      <c r="G445" s="159"/>
    </row>
    <row r="446" spans="1:7" ht="15" thickBot="1" x14ac:dyDescent="0.4">
      <c r="A446" s="41"/>
      <c r="B446" s="41"/>
      <c r="C446" s="41"/>
      <c r="D446" s="41"/>
      <c r="E446" s="41"/>
      <c r="F446" s="41"/>
      <c r="G446" s="41"/>
    </row>
    <row r="447" spans="1:7" ht="15" thickBot="1" x14ac:dyDescent="0.4">
      <c r="A447" s="153" t="s">
        <v>193</v>
      </c>
      <c r="B447" s="153"/>
      <c r="C447" s="5"/>
      <c r="D447" s="14" t="s">
        <v>1</v>
      </c>
      <c r="E447" s="14" t="s">
        <v>2</v>
      </c>
      <c r="F447" s="14" t="s">
        <v>3</v>
      </c>
      <c r="G447" s="14" t="s">
        <v>27</v>
      </c>
    </row>
    <row r="448" spans="1:7" ht="88.5" customHeight="1" thickBot="1" x14ac:dyDescent="0.4">
      <c r="A448" s="2" t="s">
        <v>4</v>
      </c>
      <c r="B448" s="2" t="s">
        <v>5</v>
      </c>
      <c r="C448" s="6" t="s">
        <v>70</v>
      </c>
      <c r="D448" s="7" t="s">
        <v>6</v>
      </c>
      <c r="E448" s="14" t="s">
        <v>29</v>
      </c>
      <c r="F448" s="14" t="s">
        <v>8</v>
      </c>
      <c r="G448" s="14" t="s">
        <v>30</v>
      </c>
    </row>
    <row r="449" spans="1:7" ht="15.75" customHeight="1" thickBot="1" x14ac:dyDescent="0.4">
      <c r="A449" s="8" t="s">
        <v>81</v>
      </c>
      <c r="B449" s="9" t="s">
        <v>195</v>
      </c>
      <c r="C449" s="9"/>
      <c r="D449" s="9"/>
      <c r="E449" s="9"/>
      <c r="F449" s="9"/>
      <c r="G449" s="10"/>
    </row>
    <row r="450" spans="1:7" ht="15" thickBot="1" x14ac:dyDescent="0.4">
      <c r="A450" s="141">
        <v>1.1000000000000001</v>
      </c>
      <c r="B450" s="143" t="s">
        <v>178</v>
      </c>
      <c r="C450" s="43" t="s">
        <v>31</v>
      </c>
      <c r="D450" s="65" t="s">
        <v>22</v>
      </c>
      <c r="E450" s="88"/>
      <c r="F450" s="114">
        <f>68*E450</f>
        <v>0</v>
      </c>
      <c r="G450" s="83"/>
    </row>
    <row r="451" spans="1:7" ht="15" thickBot="1" x14ac:dyDescent="0.4">
      <c r="A451" s="142"/>
      <c r="B451" s="142"/>
      <c r="C451" s="43" t="s">
        <v>32</v>
      </c>
      <c r="D451" s="65" t="s">
        <v>432</v>
      </c>
      <c r="E451" s="88"/>
      <c r="F451" s="114">
        <f>1453*E451</f>
        <v>0</v>
      </c>
      <c r="G451" s="83"/>
    </row>
    <row r="452" spans="1:7" ht="15" thickBot="1" x14ac:dyDescent="0.4">
      <c r="A452" s="141">
        <v>1.2</v>
      </c>
      <c r="B452" s="143" t="s">
        <v>341</v>
      </c>
      <c r="C452" s="49" t="s">
        <v>31</v>
      </c>
      <c r="D452" s="66" t="s">
        <v>433</v>
      </c>
      <c r="E452" s="88"/>
      <c r="F452" s="114">
        <f>93*E452</f>
        <v>0</v>
      </c>
      <c r="G452" s="83"/>
    </row>
    <row r="453" spans="1:7" ht="15" thickBot="1" x14ac:dyDescent="0.4">
      <c r="A453" s="142"/>
      <c r="B453" s="142"/>
      <c r="C453" s="49" t="s">
        <v>32</v>
      </c>
      <c r="D453" s="66" t="s">
        <v>89</v>
      </c>
      <c r="E453" s="88"/>
      <c r="F453" s="114">
        <f>800*E453</f>
        <v>0</v>
      </c>
      <c r="G453" s="83"/>
    </row>
    <row r="454" spans="1:7" ht="15" thickBot="1" x14ac:dyDescent="0.4">
      <c r="A454" s="141">
        <v>1.3</v>
      </c>
      <c r="B454" s="143" t="s">
        <v>179</v>
      </c>
      <c r="C454" s="49" t="s">
        <v>31</v>
      </c>
      <c r="D454" s="66" t="s">
        <v>434</v>
      </c>
      <c r="E454" s="88"/>
      <c r="F454" s="114">
        <f>178*E454</f>
        <v>0</v>
      </c>
      <c r="G454" s="83"/>
    </row>
    <row r="455" spans="1:7" ht="15" thickBot="1" x14ac:dyDescent="0.4">
      <c r="A455" s="142"/>
      <c r="B455" s="142"/>
      <c r="C455" s="49" t="s">
        <v>32</v>
      </c>
      <c r="D455" s="66" t="s">
        <v>435</v>
      </c>
      <c r="E455" s="88"/>
      <c r="F455" s="114">
        <f>798*E455</f>
        <v>0</v>
      </c>
      <c r="G455" s="83"/>
    </row>
    <row r="456" spans="1:7" ht="15" thickBot="1" x14ac:dyDescent="0.4">
      <c r="A456" s="141">
        <v>1.4</v>
      </c>
      <c r="B456" s="141" t="s">
        <v>342</v>
      </c>
      <c r="C456" s="49" t="s">
        <v>31</v>
      </c>
      <c r="D456" s="66" t="s">
        <v>436</v>
      </c>
      <c r="E456" s="88"/>
      <c r="F456" s="114">
        <f>172*E456</f>
        <v>0</v>
      </c>
      <c r="G456" s="83"/>
    </row>
    <row r="457" spans="1:7" ht="15" thickBot="1" x14ac:dyDescent="0.4">
      <c r="A457" s="142"/>
      <c r="B457" s="142"/>
      <c r="C457" s="49" t="s">
        <v>32</v>
      </c>
      <c r="D457" s="66" t="s">
        <v>437</v>
      </c>
      <c r="E457" s="88"/>
      <c r="F457" s="114">
        <f>815*E457</f>
        <v>0</v>
      </c>
      <c r="G457" s="83"/>
    </row>
    <row r="458" spans="1:7" ht="15" thickBot="1" x14ac:dyDescent="0.4">
      <c r="A458" s="141">
        <v>1.5</v>
      </c>
      <c r="B458" s="141" t="s">
        <v>343</v>
      </c>
      <c r="C458" s="49" t="s">
        <v>31</v>
      </c>
      <c r="D458" s="66" t="s">
        <v>71</v>
      </c>
      <c r="E458" s="88"/>
      <c r="F458" s="114">
        <f>3*E458</f>
        <v>0</v>
      </c>
      <c r="G458" s="83"/>
    </row>
    <row r="459" spans="1:7" ht="15" thickBot="1" x14ac:dyDescent="0.4">
      <c r="A459" s="142"/>
      <c r="B459" s="142"/>
      <c r="C459" s="49" t="s">
        <v>32</v>
      </c>
      <c r="D459" s="66" t="s">
        <v>36</v>
      </c>
      <c r="E459" s="88"/>
      <c r="F459" s="114">
        <f>24*E459</f>
        <v>0</v>
      </c>
      <c r="G459" s="83"/>
    </row>
    <row r="460" spans="1:7" ht="15" thickBot="1" x14ac:dyDescent="0.4">
      <c r="A460" s="141">
        <v>1.6</v>
      </c>
      <c r="B460" s="143" t="s">
        <v>344</v>
      </c>
      <c r="C460" s="49" t="s">
        <v>31</v>
      </c>
      <c r="D460" s="66" t="s">
        <v>50</v>
      </c>
      <c r="E460" s="88"/>
      <c r="F460" s="114">
        <f>1*E460</f>
        <v>0</v>
      </c>
      <c r="G460" s="83"/>
    </row>
    <row r="461" spans="1:7" ht="15" thickBot="1" x14ac:dyDescent="0.4">
      <c r="A461" s="142"/>
      <c r="B461" s="142"/>
      <c r="C461" s="43" t="s">
        <v>32</v>
      </c>
      <c r="D461" s="65" t="s">
        <v>36</v>
      </c>
      <c r="E461" s="88"/>
      <c r="F461" s="114">
        <f>24*E461</f>
        <v>0</v>
      </c>
      <c r="G461" s="83"/>
    </row>
    <row r="462" spans="1:7" ht="15" thickBot="1" x14ac:dyDescent="0.4">
      <c r="A462" s="44" t="s">
        <v>80</v>
      </c>
      <c r="B462" s="45" t="s">
        <v>197</v>
      </c>
      <c r="C462" s="137"/>
      <c r="D462" s="138"/>
      <c r="E462" s="46"/>
      <c r="F462" s="137"/>
      <c r="G462" s="139"/>
    </row>
    <row r="463" spans="1:7" ht="15" thickBot="1" x14ac:dyDescent="0.4">
      <c r="A463" s="141">
        <v>2.1</v>
      </c>
      <c r="B463" s="143" t="s">
        <v>178</v>
      </c>
      <c r="C463" s="43" t="s">
        <v>31</v>
      </c>
      <c r="D463" s="65" t="s">
        <v>438</v>
      </c>
      <c r="E463" s="88"/>
      <c r="F463" s="114">
        <f>5*E463</f>
        <v>0</v>
      </c>
      <c r="G463" s="83"/>
    </row>
    <row r="464" spans="1:7" ht="15" thickBot="1" x14ac:dyDescent="0.4">
      <c r="A464" s="142"/>
      <c r="B464" s="142"/>
      <c r="C464" s="43" t="s">
        <v>32</v>
      </c>
      <c r="D464" s="65" t="s">
        <v>439</v>
      </c>
      <c r="E464" s="88"/>
      <c r="F464" s="114">
        <f>826*E464</f>
        <v>0</v>
      </c>
      <c r="G464" s="83"/>
    </row>
    <row r="465" spans="1:7" ht="15" thickBot="1" x14ac:dyDescent="0.4">
      <c r="A465" s="141">
        <v>2.2000000000000002</v>
      </c>
      <c r="B465" s="143" t="s">
        <v>341</v>
      </c>
      <c r="C465" s="49" t="s">
        <v>31</v>
      </c>
      <c r="D465" s="66" t="s">
        <v>440</v>
      </c>
      <c r="E465" s="88"/>
      <c r="F465" s="114">
        <f>3*E465</f>
        <v>0</v>
      </c>
      <c r="G465" s="83"/>
    </row>
    <row r="466" spans="1:7" ht="15" thickBot="1" x14ac:dyDescent="0.4">
      <c r="A466" s="142"/>
      <c r="B466" s="142"/>
      <c r="C466" s="49" t="s">
        <v>32</v>
      </c>
      <c r="D466" s="66" t="s">
        <v>441</v>
      </c>
      <c r="E466" s="88"/>
      <c r="F466" s="114">
        <f>485*E466</f>
        <v>0</v>
      </c>
      <c r="G466" s="83"/>
    </row>
    <row r="467" spans="1:7" ht="15" thickBot="1" x14ac:dyDescent="0.4">
      <c r="A467" s="141">
        <v>2.2999999999999998</v>
      </c>
      <c r="B467" s="143" t="s">
        <v>179</v>
      </c>
      <c r="C467" s="49" t="s">
        <v>31</v>
      </c>
      <c r="D467" s="66" t="s">
        <v>50</v>
      </c>
      <c r="E467" s="88"/>
      <c r="F467" s="114">
        <f>1*E467</f>
        <v>0</v>
      </c>
      <c r="G467" s="83"/>
    </row>
    <row r="468" spans="1:7" ht="15" thickBot="1" x14ac:dyDescent="0.4">
      <c r="A468" s="142"/>
      <c r="B468" s="142"/>
      <c r="C468" s="49" t="s">
        <v>32</v>
      </c>
      <c r="D468" s="66" t="s">
        <v>58</v>
      </c>
      <c r="E468" s="88"/>
      <c r="F468" s="114">
        <f>120*E468</f>
        <v>0</v>
      </c>
      <c r="G468" s="83"/>
    </row>
    <row r="469" spans="1:7" ht="15" thickBot="1" x14ac:dyDescent="0.4">
      <c r="A469" s="141">
        <v>2.4</v>
      </c>
      <c r="B469" s="141" t="s">
        <v>342</v>
      </c>
      <c r="C469" s="49" t="s">
        <v>31</v>
      </c>
      <c r="D469" s="66" t="s">
        <v>50</v>
      </c>
      <c r="E469" s="88"/>
      <c r="F469" s="114">
        <f>1*E469</f>
        <v>0</v>
      </c>
      <c r="G469" s="83"/>
    </row>
    <row r="470" spans="1:7" ht="15" thickBot="1" x14ac:dyDescent="0.4">
      <c r="A470" s="142"/>
      <c r="B470" s="142"/>
      <c r="C470" s="49" t="s">
        <v>32</v>
      </c>
      <c r="D470" s="66" t="s">
        <v>36</v>
      </c>
      <c r="E470" s="88"/>
      <c r="F470" s="114">
        <f>24*E470</f>
        <v>0</v>
      </c>
      <c r="G470" s="83"/>
    </row>
    <row r="471" spans="1:7" ht="15" thickBot="1" x14ac:dyDescent="0.4">
      <c r="A471" s="141">
        <v>2.5</v>
      </c>
      <c r="B471" s="141" t="s">
        <v>343</v>
      </c>
      <c r="C471" s="49" t="s">
        <v>31</v>
      </c>
      <c r="D471" s="66" t="s">
        <v>50</v>
      </c>
      <c r="E471" s="88"/>
      <c r="F471" s="114">
        <f>1*E471</f>
        <v>0</v>
      </c>
      <c r="G471" s="83"/>
    </row>
    <row r="472" spans="1:7" ht="15" thickBot="1" x14ac:dyDescent="0.4">
      <c r="A472" s="142"/>
      <c r="B472" s="142"/>
      <c r="C472" s="49" t="s">
        <v>32</v>
      </c>
      <c r="D472" s="66" t="s">
        <v>36</v>
      </c>
      <c r="E472" s="88"/>
      <c r="F472" s="114">
        <f>24*E472</f>
        <v>0</v>
      </c>
      <c r="G472" s="83"/>
    </row>
    <row r="473" spans="1:7" ht="15" thickBot="1" x14ac:dyDescent="0.4">
      <c r="A473" s="141">
        <v>2.6</v>
      </c>
      <c r="B473" s="143" t="s">
        <v>344</v>
      </c>
      <c r="C473" s="49" t="s">
        <v>31</v>
      </c>
      <c r="D473" s="66" t="s">
        <v>50</v>
      </c>
      <c r="E473" s="88"/>
      <c r="F473" s="114">
        <f>1*E473</f>
        <v>0</v>
      </c>
      <c r="G473" s="83"/>
    </row>
    <row r="474" spans="1:7" ht="15" thickBot="1" x14ac:dyDescent="0.4">
      <c r="A474" s="142"/>
      <c r="B474" s="142"/>
      <c r="C474" s="43" t="s">
        <v>32</v>
      </c>
      <c r="D474" s="65" t="s">
        <v>36</v>
      </c>
      <c r="E474" s="88"/>
      <c r="F474" s="114">
        <f>24*E474</f>
        <v>0</v>
      </c>
      <c r="G474" s="83"/>
    </row>
    <row r="475" spans="1:7" ht="15" thickBot="1" x14ac:dyDescent="0.4">
      <c r="A475" s="47" t="s">
        <v>82</v>
      </c>
      <c r="B475" s="45" t="s">
        <v>199</v>
      </c>
      <c r="C475" s="46"/>
      <c r="D475" s="46"/>
      <c r="E475" s="46"/>
      <c r="F475" s="137"/>
      <c r="G475" s="139"/>
    </row>
    <row r="476" spans="1:7" ht="15" thickBot="1" x14ac:dyDescent="0.4">
      <c r="A476" s="141">
        <v>3.1</v>
      </c>
      <c r="B476" s="143" t="s">
        <v>178</v>
      </c>
      <c r="C476" s="43" t="s">
        <v>31</v>
      </c>
      <c r="D476" s="65" t="s">
        <v>438</v>
      </c>
      <c r="E476" s="88"/>
      <c r="F476" s="114">
        <f>5*E476</f>
        <v>0</v>
      </c>
      <c r="G476" s="83"/>
    </row>
    <row r="477" spans="1:7" ht="15" thickBot="1" x14ac:dyDescent="0.4">
      <c r="A477" s="142"/>
      <c r="B477" s="142"/>
      <c r="C477" s="43" t="s">
        <v>32</v>
      </c>
      <c r="D477" s="65" t="s">
        <v>439</v>
      </c>
      <c r="E477" s="88"/>
      <c r="F477" s="114">
        <f>826*E477</f>
        <v>0</v>
      </c>
      <c r="G477" s="83"/>
    </row>
    <row r="478" spans="1:7" ht="15" thickBot="1" x14ac:dyDescent="0.4">
      <c r="A478" s="141">
        <v>3.2</v>
      </c>
      <c r="B478" s="143" t="s">
        <v>341</v>
      </c>
      <c r="C478" s="49" t="s">
        <v>31</v>
      </c>
      <c r="D478" s="66" t="s">
        <v>440</v>
      </c>
      <c r="E478" s="88"/>
      <c r="F478" s="114">
        <f>3*E478</f>
        <v>0</v>
      </c>
      <c r="G478" s="83"/>
    </row>
    <row r="479" spans="1:7" ht="15" thickBot="1" x14ac:dyDescent="0.4">
      <c r="A479" s="142"/>
      <c r="B479" s="142"/>
      <c r="C479" s="49" t="s">
        <v>32</v>
      </c>
      <c r="D479" s="66" t="s">
        <v>441</v>
      </c>
      <c r="E479" s="88"/>
      <c r="F479" s="114">
        <f>485*E479</f>
        <v>0</v>
      </c>
      <c r="G479" s="83"/>
    </row>
    <row r="480" spans="1:7" ht="15" thickBot="1" x14ac:dyDescent="0.4">
      <c r="A480" s="141">
        <v>3.3</v>
      </c>
      <c r="B480" s="143" t="s">
        <v>179</v>
      </c>
      <c r="C480" s="49" t="s">
        <v>31</v>
      </c>
      <c r="D480" s="66" t="s">
        <v>50</v>
      </c>
      <c r="E480" s="88"/>
      <c r="F480" s="114">
        <f>1*E480</f>
        <v>0</v>
      </c>
      <c r="G480" s="83"/>
    </row>
    <row r="481" spans="1:7" ht="15" thickBot="1" x14ac:dyDescent="0.4">
      <c r="A481" s="142"/>
      <c r="B481" s="142"/>
      <c r="C481" s="49" t="s">
        <v>32</v>
      </c>
      <c r="D481" s="66" t="s">
        <v>58</v>
      </c>
      <c r="E481" s="88"/>
      <c r="F481" s="114">
        <f>120*E481</f>
        <v>0</v>
      </c>
      <c r="G481" s="83"/>
    </row>
    <row r="482" spans="1:7" ht="15" thickBot="1" x14ac:dyDescent="0.4">
      <c r="A482" s="141">
        <v>3.4</v>
      </c>
      <c r="B482" s="141" t="s">
        <v>342</v>
      </c>
      <c r="C482" s="49" t="s">
        <v>31</v>
      </c>
      <c r="D482" s="66" t="s">
        <v>50</v>
      </c>
      <c r="E482" s="88"/>
      <c r="F482" s="114">
        <f>1*E482</f>
        <v>0</v>
      </c>
      <c r="G482" s="83"/>
    </row>
    <row r="483" spans="1:7" ht="15" thickBot="1" x14ac:dyDescent="0.4">
      <c r="A483" s="142"/>
      <c r="B483" s="142"/>
      <c r="C483" s="49" t="s">
        <v>32</v>
      </c>
      <c r="D483" s="66" t="s">
        <v>36</v>
      </c>
      <c r="E483" s="88"/>
      <c r="F483" s="114">
        <f>24*E483</f>
        <v>0</v>
      </c>
      <c r="G483" s="83"/>
    </row>
    <row r="484" spans="1:7" ht="15" thickBot="1" x14ac:dyDescent="0.4">
      <c r="A484" s="141">
        <v>3.5</v>
      </c>
      <c r="B484" s="141" t="s">
        <v>343</v>
      </c>
      <c r="C484" s="49" t="s">
        <v>31</v>
      </c>
      <c r="D484" s="66" t="s">
        <v>50</v>
      </c>
      <c r="E484" s="88"/>
      <c r="F484" s="114">
        <f>1*E484</f>
        <v>0</v>
      </c>
      <c r="G484" s="83"/>
    </row>
    <row r="485" spans="1:7" ht="15" thickBot="1" x14ac:dyDescent="0.4">
      <c r="A485" s="142"/>
      <c r="B485" s="142"/>
      <c r="C485" s="49" t="s">
        <v>32</v>
      </c>
      <c r="D485" s="66" t="s">
        <v>36</v>
      </c>
      <c r="E485" s="88"/>
      <c r="F485" s="114">
        <f>24*E485</f>
        <v>0</v>
      </c>
      <c r="G485" s="83"/>
    </row>
    <row r="486" spans="1:7" ht="15" thickBot="1" x14ac:dyDescent="0.4">
      <c r="A486" s="141">
        <v>3.6</v>
      </c>
      <c r="B486" s="143" t="s">
        <v>344</v>
      </c>
      <c r="C486" s="49" t="s">
        <v>31</v>
      </c>
      <c r="D486" s="66" t="s">
        <v>50</v>
      </c>
      <c r="E486" s="88"/>
      <c r="F486" s="114">
        <f>1*E486</f>
        <v>0</v>
      </c>
      <c r="G486" s="83"/>
    </row>
    <row r="487" spans="1:7" ht="15" thickBot="1" x14ac:dyDescent="0.4">
      <c r="A487" s="142"/>
      <c r="B487" s="142"/>
      <c r="C487" s="43" t="s">
        <v>32</v>
      </c>
      <c r="D487" s="65" t="s">
        <v>36</v>
      </c>
      <c r="E487" s="88"/>
      <c r="F487" s="114">
        <f>24*E487</f>
        <v>0</v>
      </c>
      <c r="G487" s="83"/>
    </row>
    <row r="488" spans="1:7" x14ac:dyDescent="0.35">
      <c r="A488" s="18"/>
      <c r="B488" s="18"/>
      <c r="C488" s="67"/>
      <c r="D488" s="68"/>
      <c r="E488" s="69"/>
      <c r="F488" s="69"/>
      <c r="G488" s="70"/>
    </row>
    <row r="489" spans="1:7" x14ac:dyDescent="0.35">
      <c r="A489" s="145" t="s">
        <v>225</v>
      </c>
      <c r="B489" s="145"/>
      <c r="C489" s="145"/>
      <c r="D489" s="145"/>
      <c r="E489" s="145"/>
      <c r="F489" s="146">
        <f>SUM(F450:F461,F463:F474,F476:F487)</f>
        <v>0</v>
      </c>
      <c r="G489" s="146"/>
    </row>
    <row r="490" spans="1:7" x14ac:dyDescent="0.35">
      <c r="A490" s="41"/>
      <c r="B490" s="41"/>
      <c r="C490" s="41"/>
      <c r="D490" s="41"/>
      <c r="E490" s="41"/>
      <c r="F490" s="41"/>
      <c r="G490" s="41"/>
    </row>
    <row r="491" spans="1:7" x14ac:dyDescent="0.35">
      <c r="A491" s="127" t="s">
        <v>226</v>
      </c>
      <c r="B491" s="128"/>
      <c r="C491" s="128"/>
      <c r="D491" s="128"/>
      <c r="E491" s="128"/>
      <c r="F491" s="128"/>
      <c r="G491" s="128"/>
    </row>
    <row r="492" spans="1:7" x14ac:dyDescent="0.35">
      <c r="A492" s="32"/>
      <c r="B492" s="33"/>
      <c r="C492" s="33"/>
      <c r="D492" s="33"/>
      <c r="E492" s="33"/>
      <c r="F492" s="33"/>
      <c r="G492" s="33"/>
    </row>
    <row r="493" spans="1:7" x14ac:dyDescent="0.35">
      <c r="A493" s="124" t="s">
        <v>144</v>
      </c>
      <c r="B493" s="124"/>
      <c r="C493" s="124"/>
      <c r="D493" s="124"/>
      <c r="E493" s="124"/>
      <c r="F493" s="124"/>
      <c r="G493" s="124"/>
    </row>
    <row r="494" spans="1:7" x14ac:dyDescent="0.35">
      <c r="A494" s="41"/>
      <c r="B494" s="41"/>
      <c r="C494" s="41"/>
      <c r="D494" s="41"/>
      <c r="E494" s="41"/>
      <c r="F494" s="41"/>
      <c r="G494" s="41"/>
    </row>
    <row r="495" spans="1:7" x14ac:dyDescent="0.35">
      <c r="A495" s="127" t="s">
        <v>227</v>
      </c>
      <c r="B495" s="128"/>
      <c r="C495" s="128"/>
      <c r="D495" s="128"/>
      <c r="E495" s="128"/>
      <c r="F495" s="128"/>
      <c r="G495" s="128"/>
    </row>
    <row r="496" spans="1:7" x14ac:dyDescent="0.35">
      <c r="A496" s="41"/>
      <c r="B496" s="41"/>
      <c r="C496" s="41"/>
      <c r="D496" s="41"/>
      <c r="E496" s="41"/>
      <c r="F496" s="41"/>
      <c r="G496" s="41"/>
    </row>
    <row r="497" spans="1:7" x14ac:dyDescent="0.35">
      <c r="A497" s="128" t="s">
        <v>372</v>
      </c>
      <c r="B497" s="128"/>
      <c r="C497" s="128"/>
      <c r="D497" s="128"/>
      <c r="E497" s="128"/>
      <c r="F497" s="128"/>
      <c r="G497" s="128"/>
    </row>
    <row r="498" spans="1:7" x14ac:dyDescent="0.35">
      <c r="A498" s="41"/>
      <c r="B498" s="41"/>
      <c r="C498" s="41"/>
      <c r="D498" s="41"/>
      <c r="E498" s="41"/>
      <c r="F498" s="41"/>
      <c r="G498" s="41"/>
    </row>
    <row r="499" spans="1:7" x14ac:dyDescent="0.35">
      <c r="A499" s="123" t="s">
        <v>228</v>
      </c>
      <c r="B499" s="123"/>
      <c r="C499" s="123"/>
      <c r="D499" s="123"/>
      <c r="E499" s="123"/>
      <c r="F499" s="123"/>
      <c r="G499" s="123"/>
    </row>
    <row r="500" spans="1:7" x14ac:dyDescent="0.35">
      <c r="A500" s="158" t="s">
        <v>121</v>
      </c>
      <c r="B500" s="158"/>
      <c r="C500" s="158"/>
      <c r="D500" s="158"/>
      <c r="E500" s="158"/>
      <c r="F500" s="158"/>
      <c r="G500" s="158"/>
    </row>
    <row r="501" spans="1:7" x14ac:dyDescent="0.35">
      <c r="A501" s="158" t="s">
        <v>145</v>
      </c>
      <c r="B501" s="158"/>
      <c r="C501" s="158"/>
      <c r="D501" s="158"/>
      <c r="E501" s="158"/>
      <c r="F501" s="158"/>
      <c r="G501" s="158"/>
    </row>
    <row r="502" spans="1:7" x14ac:dyDescent="0.35">
      <c r="A502" s="158" t="s">
        <v>122</v>
      </c>
      <c r="B502" s="158"/>
      <c r="C502" s="158"/>
      <c r="D502" s="158"/>
      <c r="E502" s="158"/>
      <c r="F502" s="158"/>
      <c r="G502" s="158"/>
    </row>
    <row r="503" spans="1:7" ht="15" thickBot="1" x14ac:dyDescent="0.4">
      <c r="A503" s="41"/>
      <c r="B503" s="41"/>
      <c r="C503" s="41"/>
      <c r="D503" s="41"/>
      <c r="E503" s="41"/>
      <c r="F503" s="41"/>
      <c r="G503" s="41"/>
    </row>
    <row r="504" spans="1:7" ht="15" thickBot="1" x14ac:dyDescent="0.4">
      <c r="A504" s="153" t="s">
        <v>193</v>
      </c>
      <c r="B504" s="153"/>
      <c r="C504" s="154" t="s">
        <v>1</v>
      </c>
      <c r="D504" s="155"/>
      <c r="E504" s="14" t="s">
        <v>2</v>
      </c>
      <c r="F504" s="154" t="s">
        <v>3</v>
      </c>
      <c r="G504" s="155"/>
    </row>
    <row r="505" spans="1:7" ht="56.25" customHeight="1" thickBot="1" x14ac:dyDescent="0.4">
      <c r="A505" s="2" t="s">
        <v>4</v>
      </c>
      <c r="B505" s="2" t="s">
        <v>5</v>
      </c>
      <c r="C505" s="154" t="s">
        <v>6</v>
      </c>
      <c r="D505" s="155"/>
      <c r="E505" s="2" t="s">
        <v>109</v>
      </c>
      <c r="F505" s="154" t="s">
        <v>8</v>
      </c>
      <c r="G505" s="155"/>
    </row>
    <row r="506" spans="1:7" ht="15.75" customHeight="1" thickBot="1" x14ac:dyDescent="0.4">
      <c r="A506" s="8" t="s">
        <v>81</v>
      </c>
      <c r="B506" s="9" t="s">
        <v>195</v>
      </c>
      <c r="C506" s="9"/>
      <c r="D506" s="9"/>
      <c r="E506" s="9"/>
      <c r="F506" s="9"/>
      <c r="G506" s="10"/>
    </row>
    <row r="507" spans="1:7" ht="15" thickBot="1" x14ac:dyDescent="0.4">
      <c r="A507" s="49" t="s">
        <v>73</v>
      </c>
      <c r="B507" s="43" t="s">
        <v>229</v>
      </c>
      <c r="C507" s="129" t="s">
        <v>442</v>
      </c>
      <c r="D507" s="130"/>
      <c r="E507" s="83"/>
      <c r="F507" s="117">
        <f>278500*E507</f>
        <v>0</v>
      </c>
      <c r="G507" s="118"/>
    </row>
    <row r="508" spans="1:7" ht="15" thickBot="1" x14ac:dyDescent="0.4">
      <c r="A508" s="49" t="s">
        <v>230</v>
      </c>
      <c r="B508" s="58" t="s">
        <v>231</v>
      </c>
      <c r="C508" s="129" t="s">
        <v>443</v>
      </c>
      <c r="D508" s="130"/>
      <c r="E508" s="83"/>
      <c r="F508" s="117">
        <f>85600*E508</f>
        <v>0</v>
      </c>
      <c r="G508" s="118"/>
    </row>
    <row r="509" spans="1:7" ht="15" thickBot="1" x14ac:dyDescent="0.4">
      <c r="A509" s="49" t="s">
        <v>232</v>
      </c>
      <c r="B509" s="43" t="s">
        <v>345</v>
      </c>
      <c r="C509" s="129" t="s">
        <v>444</v>
      </c>
      <c r="D509" s="130"/>
      <c r="E509" s="83"/>
      <c r="F509" s="117">
        <f>86500*E509</f>
        <v>0</v>
      </c>
      <c r="G509" s="118"/>
    </row>
    <row r="510" spans="1:7" ht="15" thickBot="1" x14ac:dyDescent="0.4">
      <c r="A510" s="49" t="s">
        <v>90</v>
      </c>
      <c r="B510" s="43" t="s">
        <v>233</v>
      </c>
      <c r="C510" s="129" t="s">
        <v>442</v>
      </c>
      <c r="D510" s="130"/>
      <c r="E510" s="83"/>
      <c r="F510" s="117">
        <f>278500*E510</f>
        <v>0</v>
      </c>
      <c r="G510" s="118"/>
    </row>
    <row r="511" spans="1:7" ht="15" thickBot="1" x14ac:dyDescent="0.4">
      <c r="A511" s="49" t="s">
        <v>234</v>
      </c>
      <c r="B511" s="58" t="s">
        <v>235</v>
      </c>
      <c r="C511" s="129" t="s">
        <v>443</v>
      </c>
      <c r="D511" s="130"/>
      <c r="E511" s="83"/>
      <c r="F511" s="117">
        <f>85600*E511</f>
        <v>0</v>
      </c>
      <c r="G511" s="118"/>
    </row>
    <row r="512" spans="1:7" ht="15" thickBot="1" x14ac:dyDescent="0.4">
      <c r="A512" s="49" t="s">
        <v>236</v>
      </c>
      <c r="B512" s="43" t="s">
        <v>346</v>
      </c>
      <c r="C512" s="129" t="s">
        <v>444</v>
      </c>
      <c r="D512" s="130"/>
      <c r="E512" s="83"/>
      <c r="F512" s="117">
        <f>86500*E512</f>
        <v>0</v>
      </c>
      <c r="G512" s="118"/>
    </row>
    <row r="513" spans="1:7" ht="15" thickBot="1" x14ac:dyDescent="0.4">
      <c r="A513" s="49" t="s">
        <v>110</v>
      </c>
      <c r="B513" s="43" t="s">
        <v>446</v>
      </c>
      <c r="C513" s="129" t="s">
        <v>449</v>
      </c>
      <c r="D513" s="130"/>
      <c r="E513" s="83"/>
      <c r="F513" s="117">
        <f>84400*E513</f>
        <v>0</v>
      </c>
      <c r="G513" s="118"/>
    </row>
    <row r="514" spans="1:7" ht="15" thickBot="1" x14ac:dyDescent="0.4">
      <c r="A514" s="49" t="s">
        <v>445</v>
      </c>
      <c r="B514" s="58" t="s">
        <v>180</v>
      </c>
      <c r="C514" s="129" t="s">
        <v>450</v>
      </c>
      <c r="D514" s="130"/>
      <c r="E514" s="83"/>
      <c r="F514" s="117">
        <f>106400*E514</f>
        <v>0</v>
      </c>
      <c r="G514" s="118"/>
    </row>
    <row r="515" spans="1:7" ht="15" thickBot="1" x14ac:dyDescent="0.4">
      <c r="A515" s="49">
        <v>1.4</v>
      </c>
      <c r="B515" s="43" t="s">
        <v>72</v>
      </c>
      <c r="C515" s="129" t="s">
        <v>451</v>
      </c>
      <c r="D515" s="130"/>
      <c r="E515" s="83"/>
      <c r="F515" s="117">
        <f>200*E515</f>
        <v>0</v>
      </c>
      <c r="G515" s="118"/>
    </row>
    <row r="516" spans="1:7" ht="15" thickBot="1" x14ac:dyDescent="0.4">
      <c r="A516" s="49" t="s">
        <v>91</v>
      </c>
      <c r="B516" s="43" t="s">
        <v>237</v>
      </c>
      <c r="C516" s="129" t="s">
        <v>452</v>
      </c>
      <c r="D516" s="130"/>
      <c r="E516" s="83"/>
      <c r="F516" s="117">
        <f>164800*E516</f>
        <v>0</v>
      </c>
      <c r="G516" s="118"/>
    </row>
    <row r="517" spans="1:7" ht="15" thickBot="1" x14ac:dyDescent="0.4">
      <c r="A517" s="49" t="s">
        <v>238</v>
      </c>
      <c r="B517" s="58" t="s">
        <v>239</v>
      </c>
      <c r="C517" s="129" t="s">
        <v>453</v>
      </c>
      <c r="D517" s="130"/>
      <c r="E517" s="83"/>
      <c r="F517" s="117">
        <f>150000*E517</f>
        <v>0</v>
      </c>
      <c r="G517" s="118"/>
    </row>
    <row r="518" spans="1:7" ht="15" thickBot="1" x14ac:dyDescent="0.4">
      <c r="A518" s="49" t="s">
        <v>240</v>
      </c>
      <c r="B518" s="43" t="s">
        <v>347</v>
      </c>
      <c r="C518" s="129" t="s">
        <v>454</v>
      </c>
      <c r="D518" s="130"/>
      <c r="E518" s="83"/>
      <c r="F518" s="117">
        <f>4730*E518</f>
        <v>0</v>
      </c>
      <c r="G518" s="118"/>
    </row>
    <row r="519" spans="1:7" ht="15" thickBot="1" x14ac:dyDescent="0.4">
      <c r="A519" s="49" t="s">
        <v>92</v>
      </c>
      <c r="B519" s="43" t="s">
        <v>241</v>
      </c>
      <c r="C519" s="129" t="s">
        <v>455</v>
      </c>
      <c r="D519" s="130"/>
      <c r="E519" s="83"/>
      <c r="F519" s="117">
        <f>2960*E519</f>
        <v>0</v>
      </c>
      <c r="G519" s="118"/>
    </row>
    <row r="520" spans="1:7" ht="15" thickBot="1" x14ac:dyDescent="0.4">
      <c r="A520" s="49" t="s">
        <v>242</v>
      </c>
      <c r="B520" s="58" t="s">
        <v>243</v>
      </c>
      <c r="C520" s="129" t="s">
        <v>320</v>
      </c>
      <c r="D520" s="130"/>
      <c r="E520" s="83"/>
      <c r="F520" s="117">
        <f>1500*E520</f>
        <v>0</v>
      </c>
      <c r="G520" s="118"/>
    </row>
    <row r="521" spans="1:7" ht="15" thickBot="1" x14ac:dyDescent="0.4">
      <c r="A521" s="49" t="s">
        <v>244</v>
      </c>
      <c r="B521" s="43" t="s">
        <v>348</v>
      </c>
      <c r="C521" s="129" t="s">
        <v>456</v>
      </c>
      <c r="D521" s="130"/>
      <c r="E521" s="83"/>
      <c r="F521" s="117">
        <f>47*E521</f>
        <v>0</v>
      </c>
      <c r="G521" s="118"/>
    </row>
    <row r="522" spans="1:7" ht="25.5" thickBot="1" x14ac:dyDescent="0.4">
      <c r="A522" s="49" t="s">
        <v>93</v>
      </c>
      <c r="B522" s="71" t="s">
        <v>245</v>
      </c>
      <c r="C522" s="129" t="s">
        <v>457</v>
      </c>
      <c r="D522" s="130"/>
      <c r="E522" s="83"/>
      <c r="F522" s="117">
        <f>164800*E522</f>
        <v>0</v>
      </c>
      <c r="G522" s="118"/>
    </row>
    <row r="523" spans="1:7" ht="25.5" thickBot="1" x14ac:dyDescent="0.4">
      <c r="A523" s="49" t="s">
        <v>246</v>
      </c>
      <c r="B523" s="72" t="s">
        <v>247</v>
      </c>
      <c r="C523" s="129" t="s">
        <v>248</v>
      </c>
      <c r="D523" s="130"/>
      <c r="E523" s="83"/>
      <c r="F523" s="117">
        <f>150000*E523</f>
        <v>0</v>
      </c>
      <c r="G523" s="118"/>
    </row>
    <row r="524" spans="1:7" ht="25.5" thickBot="1" x14ac:dyDescent="0.4">
      <c r="A524" s="49" t="s">
        <v>249</v>
      </c>
      <c r="B524" s="71" t="s">
        <v>349</v>
      </c>
      <c r="C524" s="129" t="s">
        <v>458</v>
      </c>
      <c r="D524" s="130"/>
      <c r="E524" s="83"/>
      <c r="F524" s="117">
        <f>4730*E524</f>
        <v>0</v>
      </c>
      <c r="G524" s="118"/>
    </row>
    <row r="525" spans="1:7" ht="15" thickBot="1" x14ac:dyDescent="0.4">
      <c r="A525" s="49" t="s">
        <v>94</v>
      </c>
      <c r="B525" s="73" t="s">
        <v>123</v>
      </c>
      <c r="C525" s="129" t="s">
        <v>459</v>
      </c>
      <c r="D525" s="130"/>
      <c r="E525" s="83"/>
      <c r="F525" s="117">
        <f>2882*E525</f>
        <v>0</v>
      </c>
      <c r="G525" s="118"/>
    </row>
    <row r="526" spans="1:7" ht="15" thickBot="1" x14ac:dyDescent="0.4">
      <c r="A526" s="49" t="s">
        <v>250</v>
      </c>
      <c r="B526" s="73" t="s">
        <v>181</v>
      </c>
      <c r="C526" s="129" t="s">
        <v>460</v>
      </c>
      <c r="D526" s="130"/>
      <c r="E526" s="83"/>
      <c r="F526" s="117">
        <f>2622*E526</f>
        <v>0</v>
      </c>
      <c r="G526" s="118"/>
    </row>
    <row r="527" spans="1:7" ht="15" thickBot="1" x14ac:dyDescent="0.4">
      <c r="A527" s="49" t="s">
        <v>251</v>
      </c>
      <c r="B527" s="73" t="s">
        <v>350</v>
      </c>
      <c r="C527" s="129" t="s">
        <v>402</v>
      </c>
      <c r="D527" s="130"/>
      <c r="E527" s="83"/>
      <c r="F527" s="117">
        <f>82*E527</f>
        <v>0</v>
      </c>
      <c r="G527" s="118"/>
    </row>
    <row r="528" spans="1:7" ht="15" thickBot="1" x14ac:dyDescent="0.4">
      <c r="A528" s="49" t="s">
        <v>95</v>
      </c>
      <c r="B528" s="43" t="s">
        <v>253</v>
      </c>
      <c r="C528" s="129" t="s">
        <v>430</v>
      </c>
      <c r="D528" s="130"/>
      <c r="E528" s="83"/>
      <c r="F528" s="117">
        <f>6000*E528</f>
        <v>0</v>
      </c>
      <c r="G528" s="118"/>
    </row>
    <row r="529" spans="1:7" ht="15" thickBot="1" x14ac:dyDescent="0.4">
      <c r="A529" s="49" t="s">
        <v>254</v>
      </c>
      <c r="B529" s="58" t="s">
        <v>255</v>
      </c>
      <c r="C529" s="129" t="s">
        <v>461</v>
      </c>
      <c r="D529" s="130"/>
      <c r="E529" s="83"/>
      <c r="F529" s="117">
        <f>1900*E529</f>
        <v>0</v>
      </c>
      <c r="G529" s="118"/>
    </row>
    <row r="530" spans="1:7" ht="15" thickBot="1" x14ac:dyDescent="0.4">
      <c r="A530" s="49" t="s">
        <v>257</v>
      </c>
      <c r="B530" s="43" t="s">
        <v>351</v>
      </c>
      <c r="C530" s="129" t="s">
        <v>256</v>
      </c>
      <c r="D530" s="130"/>
      <c r="E530" s="83"/>
      <c r="F530" s="117">
        <f>2000*E530</f>
        <v>0</v>
      </c>
      <c r="G530" s="118"/>
    </row>
    <row r="531" spans="1:7" ht="15" thickBot="1" x14ac:dyDescent="0.4">
      <c r="A531" s="44" t="s">
        <v>80</v>
      </c>
      <c r="B531" s="45" t="s">
        <v>197</v>
      </c>
      <c r="C531" s="137"/>
      <c r="D531" s="138"/>
      <c r="E531" s="46"/>
      <c r="F531" s="137"/>
      <c r="G531" s="139"/>
    </row>
    <row r="532" spans="1:7" ht="15" thickBot="1" x14ac:dyDescent="0.4">
      <c r="A532" s="49" t="s">
        <v>74</v>
      </c>
      <c r="B532" s="43" t="s">
        <v>229</v>
      </c>
      <c r="C532" s="129" t="s">
        <v>462</v>
      </c>
      <c r="D532" s="130"/>
      <c r="E532" s="83"/>
      <c r="F532" s="117">
        <f>1650*E532</f>
        <v>0</v>
      </c>
      <c r="G532" s="118"/>
    </row>
    <row r="533" spans="1:7" ht="15" thickBot="1" x14ac:dyDescent="0.4">
      <c r="A533" s="49" t="s">
        <v>258</v>
      </c>
      <c r="B533" s="58" t="s">
        <v>231</v>
      </c>
      <c r="C533" s="129" t="s">
        <v>463</v>
      </c>
      <c r="D533" s="130"/>
      <c r="E533" s="83"/>
      <c r="F533" s="117">
        <f>960*E533</f>
        <v>0</v>
      </c>
      <c r="G533" s="118"/>
    </row>
    <row r="534" spans="1:7" ht="15" thickBot="1" x14ac:dyDescent="0.4">
      <c r="A534" s="49" t="s">
        <v>259</v>
      </c>
      <c r="B534" s="43" t="s">
        <v>345</v>
      </c>
      <c r="C534" s="129" t="s">
        <v>464</v>
      </c>
      <c r="D534" s="130"/>
      <c r="E534" s="83"/>
      <c r="F534" s="117">
        <f>970*E534</f>
        <v>0</v>
      </c>
      <c r="G534" s="118"/>
    </row>
    <row r="535" spans="1:7" ht="15" thickBot="1" x14ac:dyDescent="0.4">
      <c r="A535" s="49" t="s">
        <v>96</v>
      </c>
      <c r="B535" s="43" t="s">
        <v>233</v>
      </c>
      <c r="C535" s="129" t="s">
        <v>462</v>
      </c>
      <c r="D535" s="130"/>
      <c r="E535" s="83"/>
      <c r="F535" s="117">
        <f>1650*E535</f>
        <v>0</v>
      </c>
      <c r="G535" s="118"/>
    </row>
    <row r="536" spans="1:7" ht="15" thickBot="1" x14ac:dyDescent="0.4">
      <c r="A536" s="49" t="s">
        <v>260</v>
      </c>
      <c r="B536" s="58" t="s">
        <v>235</v>
      </c>
      <c r="C536" s="129" t="s">
        <v>463</v>
      </c>
      <c r="D536" s="130"/>
      <c r="E536" s="83"/>
      <c r="F536" s="117">
        <f>960*E536</f>
        <v>0</v>
      </c>
      <c r="G536" s="118"/>
    </row>
    <row r="537" spans="1:7" ht="15" thickBot="1" x14ac:dyDescent="0.4">
      <c r="A537" s="49" t="s">
        <v>261</v>
      </c>
      <c r="B537" s="43" t="s">
        <v>346</v>
      </c>
      <c r="C537" s="129" t="s">
        <v>464</v>
      </c>
      <c r="D537" s="130"/>
      <c r="E537" s="83"/>
      <c r="F537" s="117">
        <f>970*E537</f>
        <v>0</v>
      </c>
      <c r="G537" s="118"/>
    </row>
    <row r="538" spans="1:7" ht="15" thickBot="1" x14ac:dyDescent="0.4">
      <c r="A538" s="49" t="s">
        <v>112</v>
      </c>
      <c r="B538" s="43" t="s">
        <v>446</v>
      </c>
      <c r="C538" s="129" t="s">
        <v>108</v>
      </c>
      <c r="D538" s="130"/>
      <c r="E538" s="83"/>
      <c r="F538" s="117">
        <f>380*E538</f>
        <v>0</v>
      </c>
      <c r="G538" s="118"/>
    </row>
    <row r="539" spans="1:7" ht="15" thickBot="1" x14ac:dyDescent="0.4">
      <c r="A539" s="49" t="s">
        <v>447</v>
      </c>
      <c r="B539" s="58" t="s">
        <v>180</v>
      </c>
      <c r="C539" s="129" t="s">
        <v>465</v>
      </c>
      <c r="D539" s="130"/>
      <c r="E539" s="83"/>
      <c r="F539" s="117">
        <f>2090*E539</f>
        <v>0</v>
      </c>
      <c r="G539" s="118"/>
    </row>
    <row r="540" spans="1:7" ht="15" thickBot="1" x14ac:dyDescent="0.4">
      <c r="A540" s="49">
        <v>2.4</v>
      </c>
      <c r="B540" s="43" t="s">
        <v>72</v>
      </c>
      <c r="C540" s="129" t="s">
        <v>466</v>
      </c>
      <c r="D540" s="130"/>
      <c r="E540" s="83"/>
      <c r="F540" s="117">
        <f>5*E540</f>
        <v>0</v>
      </c>
      <c r="G540" s="118"/>
    </row>
    <row r="541" spans="1:7" ht="15" thickBot="1" x14ac:dyDescent="0.4">
      <c r="A541" s="49" t="s">
        <v>97</v>
      </c>
      <c r="B541" s="43" t="s">
        <v>237</v>
      </c>
      <c r="C541" s="129" t="s">
        <v>467</v>
      </c>
      <c r="D541" s="130"/>
      <c r="E541" s="83"/>
      <c r="F541" s="117">
        <f>700*E541</f>
        <v>0</v>
      </c>
      <c r="G541" s="118"/>
    </row>
    <row r="542" spans="1:7" ht="15" thickBot="1" x14ac:dyDescent="0.4">
      <c r="A542" s="49" t="s">
        <v>262</v>
      </c>
      <c r="B542" s="58" t="s">
        <v>239</v>
      </c>
      <c r="C542" s="129" t="s">
        <v>468</v>
      </c>
      <c r="D542" s="130"/>
      <c r="E542" s="83"/>
      <c r="F542" s="117">
        <f>2900*E542</f>
        <v>0</v>
      </c>
      <c r="G542" s="118"/>
    </row>
    <row r="543" spans="1:7" ht="15" thickBot="1" x14ac:dyDescent="0.4">
      <c r="A543" s="49" t="s">
        <v>263</v>
      </c>
      <c r="B543" s="43" t="s">
        <v>347</v>
      </c>
      <c r="C543" s="129" t="s">
        <v>474</v>
      </c>
      <c r="D543" s="130"/>
      <c r="E543" s="83"/>
      <c r="F543" s="117">
        <f>1*E543</f>
        <v>0</v>
      </c>
      <c r="G543" s="118"/>
    </row>
    <row r="544" spans="1:7" ht="15" thickBot="1" x14ac:dyDescent="0.4">
      <c r="A544" s="49" t="s">
        <v>98</v>
      </c>
      <c r="B544" s="43" t="s">
        <v>241</v>
      </c>
      <c r="C544" s="129" t="s">
        <v>469</v>
      </c>
      <c r="D544" s="130"/>
      <c r="E544" s="83"/>
      <c r="F544" s="117">
        <f>10*E544</f>
        <v>0</v>
      </c>
      <c r="G544" s="118"/>
    </row>
    <row r="545" spans="1:7" ht="15" thickBot="1" x14ac:dyDescent="0.4">
      <c r="A545" s="49" t="s">
        <v>264</v>
      </c>
      <c r="B545" s="58" t="s">
        <v>243</v>
      </c>
      <c r="C545" s="129" t="s">
        <v>470</v>
      </c>
      <c r="D545" s="130"/>
      <c r="E545" s="83"/>
      <c r="F545" s="117">
        <f>30*E545</f>
        <v>0</v>
      </c>
      <c r="G545" s="118"/>
    </row>
    <row r="546" spans="1:7" ht="15" thickBot="1" x14ac:dyDescent="0.4">
      <c r="A546" s="49" t="s">
        <v>265</v>
      </c>
      <c r="B546" s="43" t="s">
        <v>348</v>
      </c>
      <c r="C546" s="129" t="s">
        <v>471</v>
      </c>
      <c r="D546" s="130"/>
      <c r="E546" s="83"/>
      <c r="F546" s="117">
        <f>5*E546</f>
        <v>0</v>
      </c>
      <c r="G546" s="118"/>
    </row>
    <row r="547" spans="1:7" ht="25.5" thickBot="1" x14ac:dyDescent="0.4">
      <c r="A547" s="49" t="s">
        <v>99</v>
      </c>
      <c r="B547" s="71" t="s">
        <v>245</v>
      </c>
      <c r="C547" s="129" t="s">
        <v>472</v>
      </c>
      <c r="D547" s="130"/>
      <c r="E547" s="83"/>
      <c r="F547" s="117">
        <f>700*E547</f>
        <v>0</v>
      </c>
      <c r="G547" s="118"/>
    </row>
    <row r="548" spans="1:7" ht="25.5" thickBot="1" x14ac:dyDescent="0.4">
      <c r="A548" s="49" t="s">
        <v>266</v>
      </c>
      <c r="B548" s="72" t="s">
        <v>247</v>
      </c>
      <c r="C548" s="129" t="s">
        <v>473</v>
      </c>
      <c r="D548" s="130"/>
      <c r="E548" s="83"/>
      <c r="F548" s="117">
        <f>2900*E548</f>
        <v>0</v>
      </c>
      <c r="G548" s="118"/>
    </row>
    <row r="549" spans="1:7" ht="25.5" thickBot="1" x14ac:dyDescent="0.4">
      <c r="A549" s="49" t="s">
        <v>267</v>
      </c>
      <c r="B549" s="71" t="s">
        <v>349</v>
      </c>
      <c r="C549" s="129" t="s">
        <v>387</v>
      </c>
      <c r="D549" s="130"/>
      <c r="E549" s="83"/>
      <c r="F549" s="117">
        <f>1*E549</f>
        <v>0</v>
      </c>
      <c r="G549" s="118"/>
    </row>
    <row r="550" spans="1:7" ht="15" thickBot="1" x14ac:dyDescent="0.4">
      <c r="A550" s="49" t="s">
        <v>100</v>
      </c>
      <c r="B550" s="73" t="s">
        <v>123</v>
      </c>
      <c r="C550" s="129" t="s">
        <v>475</v>
      </c>
      <c r="D550" s="130"/>
      <c r="E550" s="83"/>
      <c r="F550" s="117">
        <f>13*E550</f>
        <v>0</v>
      </c>
      <c r="G550" s="118"/>
    </row>
    <row r="551" spans="1:7" ht="15" thickBot="1" x14ac:dyDescent="0.4">
      <c r="A551" s="49" t="s">
        <v>268</v>
      </c>
      <c r="B551" s="73" t="s">
        <v>181</v>
      </c>
      <c r="C551" s="129" t="s">
        <v>476</v>
      </c>
      <c r="D551" s="130"/>
      <c r="E551" s="83"/>
      <c r="F551" s="117">
        <f>49*E551</f>
        <v>0</v>
      </c>
      <c r="G551" s="118"/>
    </row>
    <row r="552" spans="1:7" ht="15" thickBot="1" x14ac:dyDescent="0.4">
      <c r="A552" s="49" t="s">
        <v>269</v>
      </c>
      <c r="B552" s="73" t="s">
        <v>350</v>
      </c>
      <c r="C552" s="129" t="s">
        <v>50</v>
      </c>
      <c r="D552" s="130"/>
      <c r="E552" s="83"/>
      <c r="F552" s="117">
        <f>1*E552</f>
        <v>0</v>
      </c>
      <c r="G552" s="118"/>
    </row>
    <row r="553" spans="1:7" ht="15" thickBot="1" x14ac:dyDescent="0.4">
      <c r="A553" s="49" t="s">
        <v>101</v>
      </c>
      <c r="B553" s="43" t="s">
        <v>253</v>
      </c>
      <c r="C553" s="129" t="s">
        <v>477</v>
      </c>
      <c r="D553" s="130"/>
      <c r="E553" s="83"/>
      <c r="F553" s="117">
        <f>1040*E553</f>
        <v>0</v>
      </c>
      <c r="G553" s="118"/>
    </row>
    <row r="554" spans="1:7" ht="15" thickBot="1" x14ac:dyDescent="0.4">
      <c r="A554" s="49" t="s">
        <v>270</v>
      </c>
      <c r="B554" s="58" t="s">
        <v>255</v>
      </c>
      <c r="C554" s="129" t="s">
        <v>478</v>
      </c>
      <c r="D554" s="130"/>
      <c r="E554" s="83"/>
      <c r="F554" s="117">
        <f>600*E554</f>
        <v>0</v>
      </c>
      <c r="G554" s="118"/>
    </row>
    <row r="555" spans="1:7" ht="15" thickBot="1" x14ac:dyDescent="0.4">
      <c r="A555" s="49" t="s">
        <v>271</v>
      </c>
      <c r="B555" s="43" t="s">
        <v>351</v>
      </c>
      <c r="C555" s="129" t="s">
        <v>479</v>
      </c>
      <c r="D555" s="130"/>
      <c r="E555" s="83"/>
      <c r="F555" s="117">
        <f>610*E555</f>
        <v>0</v>
      </c>
      <c r="G555" s="118"/>
    </row>
    <row r="556" spans="1:7" ht="15" thickBot="1" x14ac:dyDescent="0.4">
      <c r="A556" s="47" t="s">
        <v>82</v>
      </c>
      <c r="B556" s="45" t="s">
        <v>199</v>
      </c>
      <c r="C556" s="137"/>
      <c r="D556" s="138"/>
      <c r="E556" s="46"/>
      <c r="F556" s="137"/>
      <c r="G556" s="139"/>
    </row>
    <row r="557" spans="1:7" ht="15" thickBot="1" x14ac:dyDescent="0.4">
      <c r="A557" s="49" t="s">
        <v>75</v>
      </c>
      <c r="B557" s="43" t="s">
        <v>229</v>
      </c>
      <c r="C557" s="129" t="s">
        <v>462</v>
      </c>
      <c r="D557" s="130"/>
      <c r="E557" s="83"/>
      <c r="F557" s="117">
        <f>1650*E557</f>
        <v>0</v>
      </c>
      <c r="G557" s="118"/>
    </row>
    <row r="558" spans="1:7" ht="15" thickBot="1" x14ac:dyDescent="0.4">
      <c r="A558" s="49" t="s">
        <v>272</v>
      </c>
      <c r="B558" s="58" t="s">
        <v>231</v>
      </c>
      <c r="C558" s="129" t="s">
        <v>463</v>
      </c>
      <c r="D558" s="130"/>
      <c r="E558" s="83"/>
      <c r="F558" s="117">
        <f>960*E558</f>
        <v>0</v>
      </c>
      <c r="G558" s="118"/>
    </row>
    <row r="559" spans="1:7" ht="15" thickBot="1" x14ac:dyDescent="0.4">
      <c r="A559" s="49" t="s">
        <v>273</v>
      </c>
      <c r="B559" s="43" t="s">
        <v>345</v>
      </c>
      <c r="C559" s="129" t="s">
        <v>464</v>
      </c>
      <c r="D559" s="130"/>
      <c r="E559" s="83"/>
      <c r="F559" s="117">
        <f>970*E559</f>
        <v>0</v>
      </c>
      <c r="G559" s="118"/>
    </row>
    <row r="560" spans="1:7" ht="15" thickBot="1" x14ac:dyDescent="0.4">
      <c r="A560" s="49" t="s">
        <v>102</v>
      </c>
      <c r="B560" s="43" t="s">
        <v>233</v>
      </c>
      <c r="C560" s="129" t="s">
        <v>462</v>
      </c>
      <c r="D560" s="130"/>
      <c r="E560" s="83"/>
      <c r="F560" s="117">
        <f t="shared" ref="F560" si="9">1650*E560</f>
        <v>0</v>
      </c>
      <c r="G560" s="118"/>
    </row>
    <row r="561" spans="1:7" ht="15" thickBot="1" x14ac:dyDescent="0.4">
      <c r="A561" s="49" t="s">
        <v>274</v>
      </c>
      <c r="B561" s="58" t="s">
        <v>235</v>
      </c>
      <c r="C561" s="129" t="s">
        <v>463</v>
      </c>
      <c r="D561" s="130"/>
      <c r="E561" s="83"/>
      <c r="F561" s="117">
        <f>960*E561</f>
        <v>0</v>
      </c>
      <c r="G561" s="118"/>
    </row>
    <row r="562" spans="1:7" ht="15" thickBot="1" x14ac:dyDescent="0.4">
      <c r="A562" s="49" t="s">
        <v>275</v>
      </c>
      <c r="B562" s="43" t="s">
        <v>346</v>
      </c>
      <c r="C562" s="129" t="s">
        <v>464</v>
      </c>
      <c r="D562" s="130"/>
      <c r="E562" s="83"/>
      <c r="F562" s="117">
        <f>970*E562</f>
        <v>0</v>
      </c>
      <c r="G562" s="118"/>
    </row>
    <row r="563" spans="1:7" ht="15" thickBot="1" x14ac:dyDescent="0.4">
      <c r="A563" s="49" t="s">
        <v>114</v>
      </c>
      <c r="B563" s="43" t="s">
        <v>446</v>
      </c>
      <c r="C563" s="129" t="s">
        <v>108</v>
      </c>
      <c r="D563" s="130"/>
      <c r="E563" s="83"/>
      <c r="F563" s="117">
        <f>380*E563</f>
        <v>0</v>
      </c>
      <c r="G563" s="118"/>
    </row>
    <row r="564" spans="1:7" ht="15" thickBot="1" x14ac:dyDescent="0.4">
      <c r="A564" s="49" t="s">
        <v>448</v>
      </c>
      <c r="B564" s="58" t="s">
        <v>180</v>
      </c>
      <c r="C564" s="129" t="s">
        <v>465</v>
      </c>
      <c r="D564" s="130"/>
      <c r="E564" s="83"/>
      <c r="F564" s="117">
        <f>2090*E564</f>
        <v>0</v>
      </c>
      <c r="G564" s="118"/>
    </row>
    <row r="565" spans="1:7" ht="15" thickBot="1" x14ac:dyDescent="0.4">
      <c r="A565" s="49">
        <v>3.4</v>
      </c>
      <c r="B565" s="43" t="s">
        <v>72</v>
      </c>
      <c r="C565" s="129" t="s">
        <v>466</v>
      </c>
      <c r="D565" s="130"/>
      <c r="E565" s="83"/>
      <c r="F565" s="117">
        <f>5*E565</f>
        <v>0</v>
      </c>
      <c r="G565" s="118"/>
    </row>
    <row r="566" spans="1:7" ht="15" thickBot="1" x14ac:dyDescent="0.4">
      <c r="A566" s="49" t="s">
        <v>103</v>
      </c>
      <c r="B566" s="43" t="s">
        <v>237</v>
      </c>
      <c r="C566" s="129" t="s">
        <v>467</v>
      </c>
      <c r="D566" s="130"/>
      <c r="E566" s="83"/>
      <c r="F566" s="117">
        <f>700*E566</f>
        <v>0</v>
      </c>
      <c r="G566" s="118"/>
    </row>
    <row r="567" spans="1:7" ht="15" thickBot="1" x14ac:dyDescent="0.4">
      <c r="A567" s="49" t="s">
        <v>276</v>
      </c>
      <c r="B567" s="58" t="s">
        <v>239</v>
      </c>
      <c r="C567" s="129" t="s">
        <v>468</v>
      </c>
      <c r="D567" s="130"/>
      <c r="E567" s="83"/>
      <c r="F567" s="117">
        <f>2900*E567</f>
        <v>0</v>
      </c>
      <c r="G567" s="118"/>
    </row>
    <row r="568" spans="1:7" ht="15" thickBot="1" x14ac:dyDescent="0.4">
      <c r="A568" s="49" t="s">
        <v>277</v>
      </c>
      <c r="B568" s="43" t="s">
        <v>347</v>
      </c>
      <c r="C568" s="129" t="s">
        <v>474</v>
      </c>
      <c r="D568" s="130"/>
      <c r="E568" s="83"/>
      <c r="F568" s="117">
        <f>1*E568</f>
        <v>0</v>
      </c>
      <c r="G568" s="118"/>
    </row>
    <row r="569" spans="1:7" ht="15" thickBot="1" x14ac:dyDescent="0.4">
      <c r="A569" s="49" t="s">
        <v>104</v>
      </c>
      <c r="B569" s="43" t="s">
        <v>241</v>
      </c>
      <c r="C569" s="129" t="s">
        <v>469</v>
      </c>
      <c r="D569" s="130"/>
      <c r="E569" s="83"/>
      <c r="F569" s="117">
        <f>10*E569</f>
        <v>0</v>
      </c>
      <c r="G569" s="118"/>
    </row>
    <row r="570" spans="1:7" ht="15" thickBot="1" x14ac:dyDescent="0.4">
      <c r="A570" s="49" t="s">
        <v>278</v>
      </c>
      <c r="B570" s="58" t="s">
        <v>243</v>
      </c>
      <c r="C570" s="129" t="s">
        <v>470</v>
      </c>
      <c r="D570" s="130"/>
      <c r="E570" s="83"/>
      <c r="F570" s="117">
        <f>30*E570</f>
        <v>0</v>
      </c>
      <c r="G570" s="118"/>
    </row>
    <row r="571" spans="1:7" ht="15" thickBot="1" x14ac:dyDescent="0.4">
      <c r="A571" s="49" t="s">
        <v>279</v>
      </c>
      <c r="B571" s="43" t="s">
        <v>348</v>
      </c>
      <c r="C571" s="129" t="s">
        <v>471</v>
      </c>
      <c r="D571" s="130"/>
      <c r="E571" s="83"/>
      <c r="F571" s="117">
        <f>5*E571</f>
        <v>0</v>
      </c>
      <c r="G571" s="118"/>
    </row>
    <row r="572" spans="1:7" ht="25.5" thickBot="1" x14ac:dyDescent="0.4">
      <c r="A572" s="49" t="s">
        <v>105</v>
      </c>
      <c r="B572" s="71" t="s">
        <v>245</v>
      </c>
      <c r="C572" s="129" t="s">
        <v>472</v>
      </c>
      <c r="D572" s="130"/>
      <c r="E572" s="83"/>
      <c r="F572" s="117">
        <f>700*E572</f>
        <v>0</v>
      </c>
      <c r="G572" s="118"/>
    </row>
    <row r="573" spans="1:7" ht="25.5" thickBot="1" x14ac:dyDescent="0.4">
      <c r="A573" s="49" t="s">
        <v>280</v>
      </c>
      <c r="B573" s="72" t="s">
        <v>247</v>
      </c>
      <c r="C573" s="129" t="s">
        <v>473</v>
      </c>
      <c r="D573" s="130"/>
      <c r="E573" s="83"/>
      <c r="F573" s="117">
        <f>2900*E573</f>
        <v>0</v>
      </c>
      <c r="G573" s="118"/>
    </row>
    <row r="574" spans="1:7" ht="25.5" thickBot="1" x14ac:dyDescent="0.4">
      <c r="A574" s="49" t="s">
        <v>281</v>
      </c>
      <c r="B574" s="71" t="s">
        <v>349</v>
      </c>
      <c r="C574" s="129" t="s">
        <v>387</v>
      </c>
      <c r="D574" s="130"/>
      <c r="E574" s="83"/>
      <c r="F574" s="117">
        <f>1*E574</f>
        <v>0</v>
      </c>
      <c r="G574" s="118"/>
    </row>
    <row r="575" spans="1:7" ht="15" thickBot="1" x14ac:dyDescent="0.4">
      <c r="A575" s="49" t="s">
        <v>106</v>
      </c>
      <c r="B575" s="73" t="s">
        <v>123</v>
      </c>
      <c r="C575" s="129" t="s">
        <v>475</v>
      </c>
      <c r="D575" s="130"/>
      <c r="E575" s="83"/>
      <c r="F575" s="117">
        <f>13*E575</f>
        <v>0</v>
      </c>
      <c r="G575" s="118"/>
    </row>
    <row r="576" spans="1:7" ht="15" thickBot="1" x14ac:dyDescent="0.4">
      <c r="A576" s="49" t="s">
        <v>282</v>
      </c>
      <c r="B576" s="73" t="s">
        <v>181</v>
      </c>
      <c r="C576" s="129" t="s">
        <v>476</v>
      </c>
      <c r="D576" s="130"/>
      <c r="E576" s="83"/>
      <c r="F576" s="117">
        <f>49*E576</f>
        <v>0</v>
      </c>
      <c r="G576" s="118"/>
    </row>
    <row r="577" spans="1:7" ht="15" thickBot="1" x14ac:dyDescent="0.4">
      <c r="A577" s="49" t="s">
        <v>283</v>
      </c>
      <c r="B577" s="73" t="s">
        <v>350</v>
      </c>
      <c r="C577" s="129" t="s">
        <v>50</v>
      </c>
      <c r="D577" s="130"/>
      <c r="E577" s="83"/>
      <c r="F577" s="117">
        <f>1*E577</f>
        <v>0</v>
      </c>
      <c r="G577" s="118"/>
    </row>
    <row r="578" spans="1:7" ht="15" thickBot="1" x14ac:dyDescent="0.4">
      <c r="A578" s="49" t="s">
        <v>107</v>
      </c>
      <c r="B578" s="43" t="s">
        <v>253</v>
      </c>
      <c r="C578" s="129" t="s">
        <v>477</v>
      </c>
      <c r="D578" s="130"/>
      <c r="E578" s="83"/>
      <c r="F578" s="117">
        <f>1040*E578</f>
        <v>0</v>
      </c>
      <c r="G578" s="118"/>
    </row>
    <row r="579" spans="1:7" ht="15" thickBot="1" x14ac:dyDescent="0.4">
      <c r="A579" s="49" t="s">
        <v>284</v>
      </c>
      <c r="B579" s="58" t="s">
        <v>255</v>
      </c>
      <c r="C579" s="129" t="s">
        <v>478</v>
      </c>
      <c r="D579" s="130"/>
      <c r="E579" s="83"/>
      <c r="F579" s="117">
        <f>600*E579</f>
        <v>0</v>
      </c>
      <c r="G579" s="118"/>
    </row>
    <row r="580" spans="1:7" ht="15" thickBot="1" x14ac:dyDescent="0.4">
      <c r="A580" s="49" t="s">
        <v>285</v>
      </c>
      <c r="B580" s="43" t="s">
        <v>351</v>
      </c>
      <c r="C580" s="129" t="s">
        <v>479</v>
      </c>
      <c r="D580" s="130"/>
      <c r="E580" s="83"/>
      <c r="F580" s="117">
        <f>610*E580</f>
        <v>0</v>
      </c>
      <c r="G580" s="118"/>
    </row>
    <row r="581" spans="1:7" x14ac:dyDescent="0.35">
      <c r="A581" s="18"/>
      <c r="B581" s="67"/>
      <c r="C581" s="74"/>
      <c r="D581" s="74"/>
      <c r="E581" s="70"/>
      <c r="F581" s="75"/>
      <c r="G581" s="75"/>
    </row>
    <row r="582" spans="1:7" x14ac:dyDescent="0.35">
      <c r="A582" s="145" t="s">
        <v>286</v>
      </c>
      <c r="B582" s="145"/>
      <c r="C582" s="145"/>
      <c r="D582" s="145"/>
      <c r="E582" s="145"/>
      <c r="F582" s="146">
        <f>SUM(F507:G530,F532:G555,F557:G580)</f>
        <v>0</v>
      </c>
      <c r="G582" s="146"/>
    </row>
    <row r="583" spans="1:7" x14ac:dyDescent="0.35">
      <c r="A583" s="41"/>
      <c r="B583" s="41"/>
      <c r="C583" s="41"/>
      <c r="D583" s="41"/>
      <c r="E583" s="41"/>
      <c r="F583" s="41"/>
      <c r="G583" s="41"/>
    </row>
    <row r="584" spans="1:7" x14ac:dyDescent="0.35">
      <c r="A584" s="123" t="s">
        <v>287</v>
      </c>
      <c r="B584" s="123"/>
      <c r="C584" s="123"/>
      <c r="D584" s="123"/>
      <c r="E584" s="123"/>
      <c r="F584" s="123"/>
      <c r="G584" s="123"/>
    </row>
    <row r="585" spans="1:7" x14ac:dyDescent="0.35">
      <c r="A585" s="48"/>
      <c r="B585" s="48"/>
      <c r="C585" s="48"/>
      <c r="D585" s="48"/>
      <c r="E585" s="48"/>
      <c r="F585" s="48"/>
      <c r="G585" s="48"/>
    </row>
    <row r="586" spans="1:7" x14ac:dyDescent="0.35">
      <c r="A586" s="212" t="s">
        <v>368</v>
      </c>
      <c r="B586" s="190"/>
      <c r="C586" s="190"/>
      <c r="D586" s="190"/>
      <c r="E586" s="190"/>
      <c r="F586" s="190"/>
      <c r="G586" s="190"/>
    </row>
    <row r="587" spans="1:7" x14ac:dyDescent="0.35">
      <c r="A587" s="16"/>
      <c r="B587" s="76"/>
      <c r="C587" s="76"/>
      <c r="D587" s="76"/>
      <c r="E587" s="76"/>
      <c r="F587" s="76"/>
      <c r="G587" s="76"/>
    </row>
    <row r="588" spans="1:7" ht="14.5" customHeight="1" x14ac:dyDescent="0.35">
      <c r="A588" s="126" t="s">
        <v>124</v>
      </c>
      <c r="B588" s="126"/>
      <c r="C588" s="126"/>
      <c r="D588" s="126"/>
      <c r="E588" s="126"/>
      <c r="F588" s="126"/>
      <c r="G588" s="126"/>
    </row>
    <row r="589" spans="1:7" ht="14.5" customHeight="1" x14ac:dyDescent="0.35">
      <c r="A589" s="126"/>
      <c r="B589" s="126"/>
      <c r="C589" s="126"/>
      <c r="D589" s="126"/>
      <c r="E589" s="126"/>
      <c r="F589" s="126"/>
      <c r="G589" s="126"/>
    </row>
    <row r="590" spans="1:7" x14ac:dyDescent="0.35">
      <c r="A590" s="31"/>
      <c r="B590" s="31"/>
      <c r="C590" s="31"/>
      <c r="D590" s="31"/>
      <c r="E590" s="31"/>
      <c r="F590" s="31"/>
      <c r="G590" s="31"/>
    </row>
    <row r="591" spans="1:7" x14ac:dyDescent="0.35">
      <c r="A591" s="126" t="s">
        <v>184</v>
      </c>
      <c r="B591" s="126"/>
      <c r="C591" s="126"/>
      <c r="D591" s="126"/>
      <c r="E591" s="126"/>
      <c r="F591" s="126"/>
      <c r="G591" s="126"/>
    </row>
    <row r="592" spans="1:7" x14ac:dyDescent="0.35">
      <c r="A592" s="126"/>
      <c r="B592" s="126"/>
      <c r="C592" s="126"/>
      <c r="D592" s="126"/>
      <c r="E592" s="126"/>
      <c r="F592" s="126"/>
      <c r="G592" s="126"/>
    </row>
    <row r="593" spans="1:7" ht="15" thickBot="1" x14ac:dyDescent="0.4">
      <c r="A593" s="48"/>
      <c r="B593" s="48"/>
      <c r="C593" s="48"/>
      <c r="D593" s="48"/>
      <c r="E593" s="48"/>
      <c r="F593" s="48"/>
      <c r="G593" s="48"/>
    </row>
    <row r="594" spans="1:7" ht="15" thickBot="1" x14ac:dyDescent="0.4">
      <c r="A594" s="153" t="s">
        <v>193</v>
      </c>
      <c r="B594" s="153"/>
      <c r="C594" s="213" t="s">
        <v>1</v>
      </c>
      <c r="D594" s="214"/>
      <c r="E594" s="15" t="s">
        <v>2</v>
      </c>
      <c r="F594" s="15" t="s">
        <v>3</v>
      </c>
      <c r="G594" s="38" t="s">
        <v>27</v>
      </c>
    </row>
    <row r="595" spans="1:7" ht="91.5" thickBot="1" x14ac:dyDescent="0.4">
      <c r="A595" s="2" t="s">
        <v>4</v>
      </c>
      <c r="B595" s="2" t="s">
        <v>5</v>
      </c>
      <c r="C595" s="213" t="s">
        <v>185</v>
      </c>
      <c r="D595" s="215"/>
      <c r="E595" s="11" t="s">
        <v>87</v>
      </c>
      <c r="F595" s="15" t="s">
        <v>288</v>
      </c>
      <c r="G595" s="26" t="s">
        <v>289</v>
      </c>
    </row>
    <row r="596" spans="1:7" ht="15.75" customHeight="1" thickBot="1" x14ac:dyDescent="0.4">
      <c r="A596" s="8" t="s">
        <v>194</v>
      </c>
      <c r="B596" s="9" t="s">
        <v>195</v>
      </c>
      <c r="C596" s="9"/>
      <c r="D596" s="9"/>
      <c r="E596" s="9"/>
      <c r="F596" s="9"/>
      <c r="G596" s="10"/>
    </row>
    <row r="597" spans="1:7" ht="15" thickBot="1" x14ac:dyDescent="0.4">
      <c r="A597" s="19" t="s">
        <v>73</v>
      </c>
      <c r="B597" s="20" t="s">
        <v>88</v>
      </c>
      <c r="C597" s="156"/>
      <c r="D597" s="157"/>
      <c r="E597" s="93"/>
      <c r="F597" s="113">
        <f>E597*C597</f>
        <v>0</v>
      </c>
      <c r="G597" s="77" t="s">
        <v>290</v>
      </c>
    </row>
    <row r="598" spans="1:7" ht="15" thickBot="1" x14ac:dyDescent="0.4">
      <c r="A598" s="19" t="s">
        <v>230</v>
      </c>
      <c r="B598" s="25" t="s">
        <v>182</v>
      </c>
      <c r="C598" s="156"/>
      <c r="D598" s="157"/>
      <c r="E598" s="93"/>
      <c r="F598" s="113">
        <f t="shared" ref="F598:F599" si="10">E598*C598</f>
        <v>0</v>
      </c>
      <c r="G598" s="77" t="s">
        <v>291</v>
      </c>
    </row>
    <row r="599" spans="1:7" ht="15" thickBot="1" x14ac:dyDescent="0.4">
      <c r="A599" s="19" t="s">
        <v>232</v>
      </c>
      <c r="B599" s="20" t="s">
        <v>352</v>
      </c>
      <c r="C599" s="156"/>
      <c r="D599" s="157"/>
      <c r="E599" s="93"/>
      <c r="F599" s="113">
        <f t="shared" si="10"/>
        <v>0</v>
      </c>
      <c r="G599" s="77" t="s">
        <v>291</v>
      </c>
    </row>
    <row r="600" spans="1:7" ht="15" thickBot="1" x14ac:dyDescent="0.4">
      <c r="A600" s="44" t="s">
        <v>196</v>
      </c>
      <c r="B600" s="45" t="s">
        <v>197</v>
      </c>
      <c r="C600" s="137"/>
      <c r="D600" s="138"/>
      <c r="E600" s="46"/>
      <c r="F600" s="137"/>
      <c r="G600" s="139"/>
    </row>
    <row r="601" spans="1:7" ht="15" thickBot="1" x14ac:dyDescent="0.4">
      <c r="A601" s="19" t="s">
        <v>74</v>
      </c>
      <c r="B601" s="20" t="s">
        <v>88</v>
      </c>
      <c r="C601" s="156"/>
      <c r="D601" s="157"/>
      <c r="E601" s="93"/>
      <c r="F601" s="113">
        <f>E601*C601</f>
        <v>0</v>
      </c>
      <c r="G601" s="77" t="s">
        <v>292</v>
      </c>
    </row>
    <row r="602" spans="1:7" ht="15" thickBot="1" x14ac:dyDescent="0.4">
      <c r="A602" s="19" t="s">
        <v>258</v>
      </c>
      <c r="B602" s="25" t="s">
        <v>182</v>
      </c>
      <c r="C602" s="156"/>
      <c r="D602" s="157"/>
      <c r="E602" s="93"/>
      <c r="F602" s="113">
        <f t="shared" ref="F602:F603" si="11">E602*C602</f>
        <v>0</v>
      </c>
      <c r="G602" s="77" t="s">
        <v>293</v>
      </c>
    </row>
    <row r="603" spans="1:7" ht="15" thickBot="1" x14ac:dyDescent="0.4">
      <c r="A603" s="19" t="s">
        <v>259</v>
      </c>
      <c r="B603" s="20" t="s">
        <v>352</v>
      </c>
      <c r="C603" s="156"/>
      <c r="D603" s="157"/>
      <c r="E603" s="93"/>
      <c r="F603" s="113">
        <f t="shared" si="11"/>
        <v>0</v>
      </c>
      <c r="G603" s="77" t="s">
        <v>293</v>
      </c>
    </row>
    <row r="604" spans="1:7" ht="15" thickBot="1" x14ac:dyDescent="0.4">
      <c r="A604" s="47" t="s">
        <v>198</v>
      </c>
      <c r="B604" s="45" t="s">
        <v>199</v>
      </c>
      <c r="C604" s="46"/>
      <c r="D604" s="46"/>
      <c r="E604" s="46"/>
      <c r="F604" s="137"/>
      <c r="G604" s="139"/>
    </row>
    <row r="605" spans="1:7" ht="15" thickBot="1" x14ac:dyDescent="0.4">
      <c r="A605" s="19" t="s">
        <v>75</v>
      </c>
      <c r="B605" s="20" t="s">
        <v>88</v>
      </c>
      <c r="C605" s="156"/>
      <c r="D605" s="157"/>
      <c r="E605" s="93"/>
      <c r="F605" s="113">
        <f>E605*C605</f>
        <v>0</v>
      </c>
      <c r="G605" s="77" t="s">
        <v>294</v>
      </c>
    </row>
    <row r="606" spans="1:7" ht="15" thickBot="1" x14ac:dyDescent="0.4">
      <c r="A606" s="19" t="s">
        <v>272</v>
      </c>
      <c r="B606" s="25" t="s">
        <v>182</v>
      </c>
      <c r="C606" s="156"/>
      <c r="D606" s="157"/>
      <c r="E606" s="93"/>
      <c r="F606" s="113">
        <f t="shared" ref="F606:F607" si="12">E606*C606</f>
        <v>0</v>
      </c>
      <c r="G606" s="77" t="s">
        <v>295</v>
      </c>
    </row>
    <row r="607" spans="1:7" ht="15" thickBot="1" x14ac:dyDescent="0.4">
      <c r="A607" s="21" t="s">
        <v>273</v>
      </c>
      <c r="B607" s="22" t="s">
        <v>352</v>
      </c>
      <c r="C607" s="156"/>
      <c r="D607" s="157"/>
      <c r="E607" s="93"/>
      <c r="F607" s="113">
        <f t="shared" si="12"/>
        <v>0</v>
      </c>
      <c r="G607" s="77" t="s">
        <v>295</v>
      </c>
    </row>
    <row r="608" spans="1:7" x14ac:dyDescent="0.35">
      <c r="A608" s="23"/>
      <c r="B608" s="24"/>
      <c r="C608" s="78"/>
      <c r="D608" s="78"/>
      <c r="E608" s="79"/>
      <c r="F608" s="80"/>
      <c r="G608" s="81"/>
    </row>
    <row r="609" spans="1:7" x14ac:dyDescent="0.35">
      <c r="A609" s="145" t="s">
        <v>369</v>
      </c>
      <c r="B609" s="145"/>
      <c r="C609" s="145"/>
      <c r="D609" s="145"/>
      <c r="E609" s="145"/>
      <c r="F609" s="146">
        <f>SUM(F597:F599,F601:F603,F605:F607)</f>
        <v>0</v>
      </c>
      <c r="G609" s="146"/>
    </row>
    <row r="610" spans="1:7" x14ac:dyDescent="0.35">
      <c r="A610" s="41"/>
      <c r="B610" s="41"/>
      <c r="C610" s="41"/>
      <c r="D610" s="41"/>
      <c r="E610" s="41"/>
      <c r="F610" s="41"/>
      <c r="G610" s="41"/>
    </row>
    <row r="611" spans="1:7" x14ac:dyDescent="0.35">
      <c r="A611" s="127" t="s">
        <v>296</v>
      </c>
      <c r="B611" s="127"/>
      <c r="C611" s="127"/>
      <c r="D611" s="127"/>
      <c r="E611" s="127"/>
      <c r="F611" s="127"/>
      <c r="G611" s="127"/>
    </row>
    <row r="612" spans="1:7" x14ac:dyDescent="0.35">
      <c r="A612" s="41"/>
      <c r="B612" s="41"/>
      <c r="C612" s="41"/>
      <c r="D612" s="41"/>
      <c r="E612" s="41"/>
      <c r="F612" s="41"/>
      <c r="G612" s="41"/>
    </row>
    <row r="613" spans="1:7" x14ac:dyDescent="0.35">
      <c r="A613" s="128" t="s">
        <v>370</v>
      </c>
      <c r="B613" s="128"/>
      <c r="C613" s="128"/>
      <c r="D613" s="128"/>
      <c r="E613" s="128"/>
      <c r="F613" s="128"/>
      <c r="G613" s="128"/>
    </row>
    <row r="614" spans="1:7" x14ac:dyDescent="0.35">
      <c r="A614" s="41"/>
      <c r="B614" s="41"/>
      <c r="C614" s="41"/>
      <c r="D614" s="41"/>
      <c r="E614" s="41"/>
      <c r="F614" s="41"/>
      <c r="G614" s="41"/>
    </row>
    <row r="615" spans="1:7" x14ac:dyDescent="0.35">
      <c r="A615" s="123" t="s">
        <v>125</v>
      </c>
      <c r="B615" s="123"/>
      <c r="C615" s="123"/>
      <c r="D615" s="123"/>
      <c r="E615" s="123"/>
      <c r="F615" s="123"/>
      <c r="G615" s="123"/>
    </row>
    <row r="616" spans="1:7" x14ac:dyDescent="0.35">
      <c r="A616" s="158" t="s">
        <v>126</v>
      </c>
      <c r="B616" s="158"/>
      <c r="C616" s="158"/>
      <c r="D616" s="158"/>
      <c r="E616" s="158"/>
      <c r="F616" s="158"/>
      <c r="G616" s="158"/>
    </row>
    <row r="617" spans="1:7" x14ac:dyDescent="0.35">
      <c r="A617" s="124" t="s">
        <v>127</v>
      </c>
      <c r="B617" s="124"/>
      <c r="C617" s="124"/>
      <c r="D617" s="124"/>
      <c r="E617" s="124"/>
      <c r="F617" s="124"/>
      <c r="G617" s="124"/>
    </row>
    <row r="618" spans="1:7" ht="15" thickBot="1" x14ac:dyDescent="0.4">
      <c r="A618" s="41"/>
      <c r="B618" s="41"/>
      <c r="C618" s="41"/>
      <c r="D618" s="41"/>
      <c r="E618" s="41"/>
      <c r="F618" s="41"/>
      <c r="G618" s="41"/>
    </row>
    <row r="619" spans="1:7" ht="15" thickBot="1" x14ac:dyDescent="0.4">
      <c r="A619" s="153" t="s">
        <v>193</v>
      </c>
      <c r="B619" s="153"/>
      <c r="C619" s="154" t="s">
        <v>1</v>
      </c>
      <c r="D619" s="155"/>
      <c r="E619" s="14" t="s">
        <v>2</v>
      </c>
      <c r="F619" s="154" t="s">
        <v>3</v>
      </c>
      <c r="G619" s="155"/>
    </row>
    <row r="620" spans="1:7" ht="39.5" thickBot="1" x14ac:dyDescent="0.4">
      <c r="A620" s="2" t="s">
        <v>4</v>
      </c>
      <c r="B620" s="2" t="s">
        <v>5</v>
      </c>
      <c r="C620" s="154" t="s">
        <v>6</v>
      </c>
      <c r="D620" s="155"/>
      <c r="E620" s="2" t="s">
        <v>167</v>
      </c>
      <c r="F620" s="154" t="s">
        <v>8</v>
      </c>
      <c r="G620" s="155"/>
    </row>
    <row r="621" spans="1:7" ht="15.75" customHeight="1" thickBot="1" x14ac:dyDescent="0.4">
      <c r="A621" s="8" t="s">
        <v>81</v>
      </c>
      <c r="B621" s="9" t="s">
        <v>195</v>
      </c>
      <c r="C621" s="9"/>
      <c r="D621" s="9"/>
      <c r="E621" s="9"/>
      <c r="F621" s="9"/>
      <c r="G621" s="10"/>
    </row>
    <row r="622" spans="1:7" ht="15" thickBot="1" x14ac:dyDescent="0.4">
      <c r="A622" s="49" t="s">
        <v>73</v>
      </c>
      <c r="B622" s="43" t="s">
        <v>297</v>
      </c>
      <c r="C622" s="129" t="s">
        <v>480</v>
      </c>
      <c r="D622" s="130"/>
      <c r="E622" s="83"/>
      <c r="F622" s="117">
        <f>129500*E622</f>
        <v>0</v>
      </c>
      <c r="G622" s="118"/>
    </row>
    <row r="623" spans="1:7" ht="15" thickBot="1" x14ac:dyDescent="0.4">
      <c r="A623" s="49" t="s">
        <v>230</v>
      </c>
      <c r="B623" s="58" t="s">
        <v>298</v>
      </c>
      <c r="C623" s="129" t="s">
        <v>481</v>
      </c>
      <c r="D623" s="130"/>
      <c r="E623" s="83"/>
      <c r="F623" s="117">
        <f>76100*E623</f>
        <v>0</v>
      </c>
      <c r="G623" s="118"/>
    </row>
    <row r="624" spans="1:7" ht="15" thickBot="1" x14ac:dyDescent="0.4">
      <c r="A624" s="49" t="s">
        <v>232</v>
      </c>
      <c r="B624" s="43" t="s">
        <v>353</v>
      </c>
      <c r="C624" s="129" t="s">
        <v>482</v>
      </c>
      <c r="D624" s="130"/>
      <c r="E624" s="83"/>
      <c r="F624" s="117">
        <f>77000*E624</f>
        <v>0</v>
      </c>
      <c r="G624" s="118"/>
    </row>
    <row r="625" spans="1:7" ht="15" thickBot="1" x14ac:dyDescent="0.4">
      <c r="A625" s="49" t="s">
        <v>90</v>
      </c>
      <c r="B625" s="71" t="s">
        <v>299</v>
      </c>
      <c r="C625" s="129" t="s">
        <v>483</v>
      </c>
      <c r="D625" s="130"/>
      <c r="E625" s="83"/>
      <c r="F625" s="117">
        <f>3256*E625</f>
        <v>0</v>
      </c>
      <c r="G625" s="118"/>
    </row>
    <row r="626" spans="1:7" ht="15" thickBot="1" x14ac:dyDescent="0.4">
      <c r="A626" s="49" t="s">
        <v>234</v>
      </c>
      <c r="B626" s="72" t="s">
        <v>300</v>
      </c>
      <c r="C626" s="129" t="s">
        <v>484</v>
      </c>
      <c r="D626" s="130"/>
      <c r="E626" s="83"/>
      <c r="F626" s="117">
        <f>1650*E626</f>
        <v>0</v>
      </c>
      <c r="G626" s="118"/>
    </row>
    <row r="627" spans="1:7" ht="15" thickBot="1" x14ac:dyDescent="0.4">
      <c r="A627" s="49" t="s">
        <v>236</v>
      </c>
      <c r="B627" s="71" t="s">
        <v>354</v>
      </c>
      <c r="C627" s="129" t="s">
        <v>485</v>
      </c>
      <c r="D627" s="130"/>
      <c r="E627" s="83"/>
      <c r="F627" s="117">
        <f>52*E627</f>
        <v>0</v>
      </c>
      <c r="G627" s="118"/>
    </row>
    <row r="628" spans="1:7" ht="15" thickBot="1" x14ac:dyDescent="0.4">
      <c r="A628" s="49" t="s">
        <v>110</v>
      </c>
      <c r="B628" s="43" t="s">
        <v>301</v>
      </c>
      <c r="C628" s="129" t="s">
        <v>486</v>
      </c>
      <c r="D628" s="130"/>
      <c r="E628" s="83"/>
      <c r="F628" s="117">
        <f>129500*E628</f>
        <v>0</v>
      </c>
      <c r="G628" s="118"/>
    </row>
    <row r="629" spans="1:7" ht="15" thickBot="1" x14ac:dyDescent="0.4">
      <c r="A629" s="49" t="s">
        <v>302</v>
      </c>
      <c r="B629" s="58" t="s">
        <v>303</v>
      </c>
      <c r="C629" s="129" t="s">
        <v>481</v>
      </c>
      <c r="D629" s="130"/>
      <c r="E629" s="83"/>
      <c r="F629" s="117">
        <f>76100*E629</f>
        <v>0</v>
      </c>
      <c r="G629" s="118"/>
    </row>
    <row r="630" spans="1:7" ht="15" thickBot="1" x14ac:dyDescent="0.4">
      <c r="A630" s="49" t="s">
        <v>304</v>
      </c>
      <c r="B630" s="43" t="s">
        <v>355</v>
      </c>
      <c r="C630" s="129" t="s">
        <v>482</v>
      </c>
      <c r="D630" s="130"/>
      <c r="E630" s="83"/>
      <c r="F630" s="117">
        <f>77000*E630</f>
        <v>0</v>
      </c>
      <c r="G630" s="118"/>
    </row>
    <row r="631" spans="1:7" ht="15" thickBot="1" x14ac:dyDescent="0.4">
      <c r="A631" s="49" t="s">
        <v>111</v>
      </c>
      <c r="B631" s="43" t="s">
        <v>305</v>
      </c>
      <c r="C631" s="129" t="s">
        <v>487</v>
      </c>
      <c r="D631" s="130"/>
      <c r="E631" s="83"/>
      <c r="F631" s="117">
        <f>2700*E631</f>
        <v>0</v>
      </c>
      <c r="G631" s="118"/>
    </row>
    <row r="632" spans="1:7" ht="15" thickBot="1" x14ac:dyDescent="0.4">
      <c r="A632" s="49" t="s">
        <v>306</v>
      </c>
      <c r="B632" s="58" t="s">
        <v>307</v>
      </c>
      <c r="C632" s="129" t="s">
        <v>488</v>
      </c>
      <c r="D632" s="130"/>
      <c r="E632" s="83"/>
      <c r="F632" s="117">
        <f>4100*E632</f>
        <v>0</v>
      </c>
      <c r="G632" s="118"/>
    </row>
    <row r="633" spans="1:7" ht="15" thickBot="1" x14ac:dyDescent="0.4">
      <c r="A633" s="49" t="s">
        <v>308</v>
      </c>
      <c r="B633" s="43" t="s">
        <v>356</v>
      </c>
      <c r="C633" s="129" t="s">
        <v>309</v>
      </c>
      <c r="D633" s="130"/>
      <c r="E633" s="83"/>
      <c r="F633" s="117">
        <f>1700*E633</f>
        <v>0</v>
      </c>
      <c r="G633" s="118"/>
    </row>
    <row r="634" spans="1:7" ht="15" thickBot="1" x14ac:dyDescent="0.4">
      <c r="A634" s="49" t="s">
        <v>91</v>
      </c>
      <c r="B634" s="43" t="s">
        <v>310</v>
      </c>
      <c r="C634" s="129" t="s">
        <v>489</v>
      </c>
      <c r="D634" s="130"/>
      <c r="E634" s="83"/>
      <c r="F634" s="117">
        <f>117*E634</f>
        <v>0</v>
      </c>
      <c r="G634" s="118"/>
    </row>
    <row r="635" spans="1:7" ht="15" thickBot="1" x14ac:dyDescent="0.4">
      <c r="A635" s="49" t="s">
        <v>238</v>
      </c>
      <c r="B635" s="58" t="s">
        <v>311</v>
      </c>
      <c r="C635" s="129" t="s">
        <v>490</v>
      </c>
      <c r="D635" s="130"/>
      <c r="E635" s="83"/>
      <c r="F635" s="117">
        <f>205*E635</f>
        <v>0</v>
      </c>
      <c r="G635" s="118"/>
    </row>
    <row r="636" spans="1:7" ht="15" thickBot="1" x14ac:dyDescent="0.4">
      <c r="A636" s="49" t="s">
        <v>240</v>
      </c>
      <c r="B636" s="43" t="s">
        <v>357</v>
      </c>
      <c r="C636" s="129" t="s">
        <v>491</v>
      </c>
      <c r="D636" s="130"/>
      <c r="E636" s="83"/>
      <c r="F636" s="117">
        <f>147*E636</f>
        <v>0</v>
      </c>
      <c r="G636" s="118"/>
    </row>
    <row r="637" spans="1:7" ht="15" thickBot="1" x14ac:dyDescent="0.4">
      <c r="A637" s="49" t="s">
        <v>92</v>
      </c>
      <c r="B637" s="43" t="s">
        <v>312</v>
      </c>
      <c r="C637" s="129" t="s">
        <v>492</v>
      </c>
      <c r="D637" s="130"/>
      <c r="E637" s="83"/>
      <c r="F637" s="117">
        <f>6475*E637</f>
        <v>0</v>
      </c>
      <c r="G637" s="118"/>
    </row>
    <row r="638" spans="1:7" ht="15" thickBot="1" x14ac:dyDescent="0.4">
      <c r="A638" s="49" t="s">
        <v>242</v>
      </c>
      <c r="B638" s="58" t="s">
        <v>313</v>
      </c>
      <c r="C638" s="129" t="s">
        <v>493</v>
      </c>
      <c r="D638" s="130"/>
      <c r="E638" s="83"/>
      <c r="F638" s="117">
        <f>3805*E638</f>
        <v>0</v>
      </c>
      <c r="G638" s="118"/>
    </row>
    <row r="639" spans="1:7" ht="15" thickBot="1" x14ac:dyDescent="0.4">
      <c r="A639" s="49" t="s">
        <v>244</v>
      </c>
      <c r="B639" s="43" t="s">
        <v>358</v>
      </c>
      <c r="C639" s="129" t="s">
        <v>529</v>
      </c>
      <c r="D639" s="130"/>
      <c r="E639" s="83"/>
      <c r="F639" s="117">
        <f>3850*E639</f>
        <v>0</v>
      </c>
      <c r="G639" s="118"/>
    </row>
    <row r="640" spans="1:7" ht="15" thickBot="1" x14ac:dyDescent="0.4">
      <c r="A640" s="49" t="s">
        <v>93</v>
      </c>
      <c r="B640" s="43" t="s">
        <v>314</v>
      </c>
      <c r="C640" s="129" t="s">
        <v>486</v>
      </c>
      <c r="D640" s="130"/>
      <c r="E640" s="83"/>
      <c r="F640" s="117">
        <f>129500*E640</f>
        <v>0</v>
      </c>
      <c r="G640" s="118"/>
    </row>
    <row r="641" spans="1:7" ht="15" thickBot="1" x14ac:dyDescent="0.4">
      <c r="A641" s="49" t="s">
        <v>246</v>
      </c>
      <c r="B641" s="58" t="s">
        <v>315</v>
      </c>
      <c r="C641" s="129" t="s">
        <v>481</v>
      </c>
      <c r="D641" s="130"/>
      <c r="E641" s="83"/>
      <c r="F641" s="117">
        <f>76100*E641</f>
        <v>0</v>
      </c>
      <c r="G641" s="118"/>
    </row>
    <row r="642" spans="1:7" ht="15" thickBot="1" x14ac:dyDescent="0.4">
      <c r="A642" s="49" t="s">
        <v>249</v>
      </c>
      <c r="B642" s="43" t="s">
        <v>359</v>
      </c>
      <c r="C642" s="129" t="s">
        <v>482</v>
      </c>
      <c r="D642" s="130"/>
      <c r="E642" s="83"/>
      <c r="F642" s="117">
        <f>77000*E642</f>
        <v>0</v>
      </c>
      <c r="G642" s="118"/>
    </row>
    <row r="643" spans="1:7" ht="15" thickBot="1" x14ac:dyDescent="0.4">
      <c r="A643" s="49" t="s">
        <v>94</v>
      </c>
      <c r="B643" s="43" t="s">
        <v>506</v>
      </c>
      <c r="C643" s="129" t="s">
        <v>449</v>
      </c>
      <c r="D643" s="130"/>
      <c r="E643" s="83"/>
      <c r="F643" s="117">
        <f>84400*E643</f>
        <v>0</v>
      </c>
      <c r="G643" s="118"/>
    </row>
    <row r="644" spans="1:7" ht="15" thickBot="1" x14ac:dyDescent="0.4">
      <c r="A644" s="49" t="s">
        <v>509</v>
      </c>
      <c r="B644" s="82" t="s">
        <v>183</v>
      </c>
      <c r="C644" s="129" t="s">
        <v>450</v>
      </c>
      <c r="D644" s="130"/>
      <c r="E644" s="83"/>
      <c r="F644" s="117">
        <f>106400*E644</f>
        <v>0</v>
      </c>
      <c r="G644" s="118"/>
    </row>
    <row r="645" spans="1:7" ht="15" thickBot="1" x14ac:dyDescent="0.4">
      <c r="A645" s="44" t="s">
        <v>80</v>
      </c>
      <c r="B645" s="45" t="s">
        <v>197</v>
      </c>
      <c r="C645" s="137"/>
      <c r="D645" s="138"/>
      <c r="E645" s="46"/>
      <c r="F645" s="137"/>
      <c r="G645" s="139"/>
    </row>
    <row r="646" spans="1:7" ht="15" thickBot="1" x14ac:dyDescent="0.4">
      <c r="A646" s="49" t="s">
        <v>74</v>
      </c>
      <c r="B646" s="43" t="s">
        <v>297</v>
      </c>
      <c r="C646" s="129" t="s">
        <v>494</v>
      </c>
      <c r="D646" s="130"/>
      <c r="E646" s="83"/>
      <c r="F646" s="117">
        <f>73400*E646</f>
        <v>0</v>
      </c>
      <c r="G646" s="118"/>
    </row>
    <row r="647" spans="1:7" ht="15" thickBot="1" x14ac:dyDescent="0.4">
      <c r="A647" s="49" t="s">
        <v>258</v>
      </c>
      <c r="B647" s="58" t="s">
        <v>298</v>
      </c>
      <c r="C647" s="129" t="s">
        <v>495</v>
      </c>
      <c r="D647" s="130"/>
      <c r="E647" s="83"/>
      <c r="F647" s="117">
        <f>12300*E647</f>
        <v>0</v>
      </c>
      <c r="G647" s="118"/>
    </row>
    <row r="648" spans="1:7" ht="15" thickBot="1" x14ac:dyDescent="0.4">
      <c r="A648" s="49" t="s">
        <v>259</v>
      </c>
      <c r="B648" s="43" t="s">
        <v>353</v>
      </c>
      <c r="C648" s="129" t="s">
        <v>496</v>
      </c>
      <c r="D648" s="130"/>
      <c r="E648" s="83"/>
      <c r="F648" s="117">
        <f>12400*E648</f>
        <v>0</v>
      </c>
      <c r="G648" s="118"/>
    </row>
    <row r="649" spans="1:7" ht="15" thickBot="1" x14ac:dyDescent="0.4">
      <c r="A649" s="49" t="s">
        <v>96</v>
      </c>
      <c r="B649" s="71" t="s">
        <v>299</v>
      </c>
      <c r="C649" s="129" t="s">
        <v>497</v>
      </c>
      <c r="D649" s="130"/>
      <c r="E649" s="83"/>
      <c r="F649" s="117">
        <f>11*E649</f>
        <v>0</v>
      </c>
      <c r="G649" s="118"/>
    </row>
    <row r="650" spans="1:7" ht="15" thickBot="1" x14ac:dyDescent="0.4">
      <c r="A650" s="49" t="s">
        <v>260</v>
      </c>
      <c r="B650" s="72" t="s">
        <v>300</v>
      </c>
      <c r="C650" s="129" t="s">
        <v>498</v>
      </c>
      <c r="D650" s="130"/>
      <c r="E650" s="83"/>
      <c r="F650" s="117">
        <f>33*E650</f>
        <v>0</v>
      </c>
      <c r="G650" s="118"/>
    </row>
    <row r="651" spans="1:7" ht="15" thickBot="1" x14ac:dyDescent="0.4">
      <c r="A651" s="49" t="s">
        <v>261</v>
      </c>
      <c r="B651" s="71" t="s">
        <v>354</v>
      </c>
      <c r="C651" s="129" t="s">
        <v>499</v>
      </c>
      <c r="D651" s="130"/>
      <c r="E651" s="83"/>
      <c r="F651" s="117">
        <f>5*E651</f>
        <v>0</v>
      </c>
      <c r="G651" s="118"/>
    </row>
    <row r="652" spans="1:7" ht="15" thickBot="1" x14ac:dyDescent="0.4">
      <c r="A652" s="49" t="s">
        <v>112</v>
      </c>
      <c r="B652" s="43" t="s">
        <v>301</v>
      </c>
      <c r="C652" s="129" t="s">
        <v>494</v>
      </c>
      <c r="D652" s="130"/>
      <c r="E652" s="83"/>
      <c r="F652" s="117">
        <f>73400*E652</f>
        <v>0</v>
      </c>
      <c r="G652" s="118"/>
    </row>
    <row r="653" spans="1:7" ht="15" thickBot="1" x14ac:dyDescent="0.4">
      <c r="A653" s="49" t="s">
        <v>316</v>
      </c>
      <c r="B653" s="58" t="s">
        <v>303</v>
      </c>
      <c r="C653" s="129" t="s">
        <v>495</v>
      </c>
      <c r="D653" s="130"/>
      <c r="E653" s="83"/>
      <c r="F653" s="117">
        <f>12300*E653</f>
        <v>0</v>
      </c>
      <c r="G653" s="118"/>
    </row>
    <row r="654" spans="1:7" ht="15" thickBot="1" x14ac:dyDescent="0.4">
      <c r="A654" s="49" t="s">
        <v>317</v>
      </c>
      <c r="B654" s="43" t="s">
        <v>355</v>
      </c>
      <c r="C654" s="129" t="s">
        <v>496</v>
      </c>
      <c r="D654" s="130"/>
      <c r="E654" s="83"/>
      <c r="F654" s="117">
        <f>12400*E654</f>
        <v>0</v>
      </c>
      <c r="G654" s="118"/>
    </row>
    <row r="655" spans="1:7" ht="15" thickBot="1" x14ac:dyDescent="0.4">
      <c r="A655" s="49" t="s">
        <v>113</v>
      </c>
      <c r="B655" s="43" t="s">
        <v>305</v>
      </c>
      <c r="C655" s="129" t="s">
        <v>500</v>
      </c>
      <c r="D655" s="130"/>
      <c r="E655" s="83"/>
      <c r="F655" s="117">
        <f>2200*E655</f>
        <v>0</v>
      </c>
      <c r="G655" s="118"/>
    </row>
    <row r="656" spans="1:7" ht="15" thickBot="1" x14ac:dyDescent="0.4">
      <c r="A656" s="49" t="s">
        <v>318</v>
      </c>
      <c r="B656" s="58" t="s">
        <v>307</v>
      </c>
      <c r="C656" s="129" t="s">
        <v>309</v>
      </c>
      <c r="D656" s="130"/>
      <c r="E656" s="83"/>
      <c r="F656" s="117">
        <f>1700*E656</f>
        <v>0</v>
      </c>
      <c r="G656" s="118"/>
    </row>
    <row r="657" spans="1:7" ht="15" thickBot="1" x14ac:dyDescent="0.4">
      <c r="A657" s="49" t="s">
        <v>319</v>
      </c>
      <c r="B657" s="43" t="s">
        <v>356</v>
      </c>
      <c r="C657" s="129" t="s">
        <v>501</v>
      </c>
      <c r="D657" s="130"/>
      <c r="E657" s="83"/>
      <c r="F657" s="117">
        <f>500*E657</f>
        <v>0</v>
      </c>
      <c r="G657" s="118"/>
    </row>
    <row r="658" spans="1:7" ht="15" thickBot="1" x14ac:dyDescent="0.4">
      <c r="A658" s="49" t="s">
        <v>97</v>
      </c>
      <c r="B658" s="43" t="s">
        <v>310</v>
      </c>
      <c r="C658" s="129" t="s">
        <v>116</v>
      </c>
      <c r="D658" s="130"/>
      <c r="E658" s="83"/>
      <c r="F658" s="117">
        <f>22*E658</f>
        <v>0</v>
      </c>
      <c r="G658" s="118"/>
    </row>
    <row r="659" spans="1:7" ht="15" thickBot="1" x14ac:dyDescent="0.4">
      <c r="A659" s="49" t="s">
        <v>262</v>
      </c>
      <c r="B659" s="58" t="s">
        <v>311</v>
      </c>
      <c r="C659" s="129" t="s">
        <v>117</v>
      </c>
      <c r="D659" s="130"/>
      <c r="E659" s="83"/>
      <c r="F659" s="117">
        <f>30*E659</f>
        <v>0</v>
      </c>
      <c r="G659" s="118"/>
    </row>
    <row r="660" spans="1:7" ht="15" thickBot="1" x14ac:dyDescent="0.4">
      <c r="A660" s="49" t="s">
        <v>263</v>
      </c>
      <c r="B660" s="43" t="s">
        <v>357</v>
      </c>
      <c r="C660" s="129" t="s">
        <v>502</v>
      </c>
      <c r="D660" s="130"/>
      <c r="E660" s="83"/>
      <c r="F660" s="117">
        <f>28*E660</f>
        <v>0</v>
      </c>
      <c r="G660" s="118"/>
    </row>
    <row r="661" spans="1:7" ht="15" thickBot="1" x14ac:dyDescent="0.4">
      <c r="A661" s="49" t="s">
        <v>98</v>
      </c>
      <c r="B661" s="43" t="s">
        <v>312</v>
      </c>
      <c r="C661" s="129" t="s">
        <v>503</v>
      </c>
      <c r="D661" s="130"/>
      <c r="E661" s="83"/>
      <c r="F661" s="117">
        <f>3670*E661</f>
        <v>0</v>
      </c>
      <c r="G661" s="118"/>
    </row>
    <row r="662" spans="1:7" ht="15" thickBot="1" x14ac:dyDescent="0.4">
      <c r="A662" s="49" t="s">
        <v>264</v>
      </c>
      <c r="B662" s="58" t="s">
        <v>313</v>
      </c>
      <c r="C662" s="129" t="s">
        <v>504</v>
      </c>
      <c r="D662" s="130"/>
      <c r="E662" s="83"/>
      <c r="F662" s="117">
        <f>615*E662</f>
        <v>0</v>
      </c>
      <c r="G662" s="118"/>
    </row>
    <row r="663" spans="1:7" ht="15" thickBot="1" x14ac:dyDescent="0.4">
      <c r="A663" s="49" t="s">
        <v>265</v>
      </c>
      <c r="B663" s="43" t="s">
        <v>358</v>
      </c>
      <c r="C663" s="129" t="s">
        <v>505</v>
      </c>
      <c r="D663" s="130"/>
      <c r="E663" s="83"/>
      <c r="F663" s="117">
        <f>620*E663</f>
        <v>0</v>
      </c>
      <c r="G663" s="118"/>
    </row>
    <row r="664" spans="1:7" ht="15" thickBot="1" x14ac:dyDescent="0.4">
      <c r="A664" s="49" t="s">
        <v>99</v>
      </c>
      <c r="B664" s="43" t="s">
        <v>314</v>
      </c>
      <c r="C664" s="129" t="s">
        <v>494</v>
      </c>
      <c r="D664" s="130"/>
      <c r="E664" s="83"/>
      <c r="F664" s="117">
        <f t="shared" ref="F664" si="13">73400*E664</f>
        <v>0</v>
      </c>
      <c r="G664" s="118"/>
    </row>
    <row r="665" spans="1:7" ht="15" thickBot="1" x14ac:dyDescent="0.4">
      <c r="A665" s="49" t="s">
        <v>266</v>
      </c>
      <c r="B665" s="58" t="s">
        <v>315</v>
      </c>
      <c r="C665" s="129" t="s">
        <v>495</v>
      </c>
      <c r="D665" s="130"/>
      <c r="E665" s="83"/>
      <c r="F665" s="117">
        <f>12300*E665</f>
        <v>0</v>
      </c>
      <c r="G665" s="118"/>
    </row>
    <row r="666" spans="1:7" ht="15" thickBot="1" x14ac:dyDescent="0.4">
      <c r="A666" s="49" t="s">
        <v>267</v>
      </c>
      <c r="B666" s="43" t="s">
        <v>359</v>
      </c>
      <c r="C666" s="129" t="s">
        <v>496</v>
      </c>
      <c r="D666" s="130"/>
      <c r="E666" s="83"/>
      <c r="F666" s="117">
        <f>12400*E666</f>
        <v>0</v>
      </c>
      <c r="G666" s="118"/>
    </row>
    <row r="667" spans="1:7" ht="15" thickBot="1" x14ac:dyDescent="0.4">
      <c r="A667" s="49" t="s">
        <v>100</v>
      </c>
      <c r="B667" s="43" t="s">
        <v>506</v>
      </c>
      <c r="C667" s="129" t="s">
        <v>385</v>
      </c>
      <c r="D667" s="130"/>
      <c r="E667" s="83"/>
      <c r="F667" s="117">
        <f>400*E667</f>
        <v>0</v>
      </c>
      <c r="G667" s="118"/>
    </row>
    <row r="668" spans="1:7" ht="15" thickBot="1" x14ac:dyDescent="0.4">
      <c r="A668" s="49" t="s">
        <v>507</v>
      </c>
      <c r="B668" s="82" t="s">
        <v>183</v>
      </c>
      <c r="C668" s="129" t="s">
        <v>508</v>
      </c>
      <c r="D668" s="130"/>
      <c r="E668" s="83"/>
      <c r="F668" s="117">
        <f>2100*E668</f>
        <v>0</v>
      </c>
      <c r="G668" s="118"/>
    </row>
    <row r="669" spans="1:7" ht="15" thickBot="1" x14ac:dyDescent="0.4">
      <c r="A669" s="47" t="s">
        <v>82</v>
      </c>
      <c r="B669" s="45" t="s">
        <v>199</v>
      </c>
      <c r="C669" s="46"/>
      <c r="D669" s="46"/>
      <c r="E669" s="46"/>
      <c r="F669" s="137"/>
      <c r="G669" s="139"/>
    </row>
    <row r="670" spans="1:7" ht="15" thickBot="1" x14ac:dyDescent="0.4">
      <c r="A670" s="49" t="s">
        <v>75</v>
      </c>
      <c r="B670" s="43" t="s">
        <v>297</v>
      </c>
      <c r="C670" s="129" t="s">
        <v>512</v>
      </c>
      <c r="D670" s="130"/>
      <c r="E670" s="83"/>
      <c r="F670" s="117">
        <f>72900*E670</f>
        <v>0</v>
      </c>
      <c r="G670" s="118"/>
    </row>
    <row r="671" spans="1:7" ht="15" thickBot="1" x14ac:dyDescent="0.4">
      <c r="A671" s="49" t="s">
        <v>272</v>
      </c>
      <c r="B671" s="58" t="s">
        <v>298</v>
      </c>
      <c r="C671" s="129" t="s">
        <v>513</v>
      </c>
      <c r="D671" s="130"/>
      <c r="E671" s="83"/>
      <c r="F671" s="117">
        <f>12100*E671</f>
        <v>0</v>
      </c>
      <c r="G671" s="118"/>
    </row>
    <row r="672" spans="1:7" ht="15" thickBot="1" x14ac:dyDescent="0.4">
      <c r="A672" s="49" t="s">
        <v>273</v>
      </c>
      <c r="B672" s="43" t="s">
        <v>353</v>
      </c>
      <c r="C672" s="129" t="s">
        <v>513</v>
      </c>
      <c r="D672" s="130"/>
      <c r="E672" s="83"/>
      <c r="F672" s="117">
        <f>12100*E672</f>
        <v>0</v>
      </c>
      <c r="G672" s="118"/>
    </row>
    <row r="673" spans="1:7" ht="15" thickBot="1" x14ac:dyDescent="0.4">
      <c r="A673" s="49" t="s">
        <v>102</v>
      </c>
      <c r="B673" s="71" t="s">
        <v>299</v>
      </c>
      <c r="C673" s="129" t="s">
        <v>497</v>
      </c>
      <c r="D673" s="130"/>
      <c r="E673" s="83"/>
      <c r="F673" s="117">
        <f>11*E673</f>
        <v>0</v>
      </c>
      <c r="G673" s="118"/>
    </row>
    <row r="674" spans="1:7" ht="15" thickBot="1" x14ac:dyDescent="0.4">
      <c r="A674" s="49" t="s">
        <v>274</v>
      </c>
      <c r="B674" s="72" t="s">
        <v>300</v>
      </c>
      <c r="C674" s="129" t="s">
        <v>498</v>
      </c>
      <c r="D674" s="130"/>
      <c r="E674" s="83"/>
      <c r="F674" s="117">
        <f>33*E674</f>
        <v>0</v>
      </c>
      <c r="G674" s="118"/>
    </row>
    <row r="675" spans="1:7" ht="15" thickBot="1" x14ac:dyDescent="0.4">
      <c r="A675" s="49" t="s">
        <v>275</v>
      </c>
      <c r="B675" s="71" t="s">
        <v>354</v>
      </c>
      <c r="C675" s="129" t="s">
        <v>499</v>
      </c>
      <c r="D675" s="130"/>
      <c r="E675" s="83"/>
      <c r="F675" s="117">
        <f>5*E675</f>
        <v>0</v>
      </c>
      <c r="G675" s="118"/>
    </row>
    <row r="676" spans="1:7" ht="15" thickBot="1" x14ac:dyDescent="0.4">
      <c r="A676" s="49" t="s">
        <v>114</v>
      </c>
      <c r="B676" s="43" t="s">
        <v>301</v>
      </c>
      <c r="C676" s="129" t="s">
        <v>514</v>
      </c>
      <c r="D676" s="130"/>
      <c r="E676" s="83"/>
      <c r="F676" s="117">
        <f>73400*E676</f>
        <v>0</v>
      </c>
      <c r="G676" s="118"/>
    </row>
    <row r="677" spans="1:7" ht="15" thickBot="1" x14ac:dyDescent="0.4">
      <c r="A677" s="49" t="s">
        <v>321</v>
      </c>
      <c r="B677" s="58" t="s">
        <v>303</v>
      </c>
      <c r="C677" s="129" t="s">
        <v>495</v>
      </c>
      <c r="D677" s="130"/>
      <c r="E677" s="83"/>
      <c r="F677" s="117">
        <f>12300*E677</f>
        <v>0</v>
      </c>
      <c r="G677" s="118"/>
    </row>
    <row r="678" spans="1:7" ht="15" thickBot="1" x14ac:dyDescent="0.4">
      <c r="A678" s="49" t="s">
        <v>322</v>
      </c>
      <c r="B678" s="43" t="s">
        <v>355</v>
      </c>
      <c r="C678" s="129" t="s">
        <v>496</v>
      </c>
      <c r="D678" s="130"/>
      <c r="E678" s="83"/>
      <c r="F678" s="117">
        <f>12400*E678</f>
        <v>0</v>
      </c>
      <c r="G678" s="118"/>
    </row>
    <row r="679" spans="1:7" ht="15" thickBot="1" x14ac:dyDescent="0.4">
      <c r="A679" s="49" t="s">
        <v>115</v>
      </c>
      <c r="B679" s="43" t="s">
        <v>305</v>
      </c>
      <c r="C679" s="129" t="s">
        <v>500</v>
      </c>
      <c r="D679" s="130"/>
      <c r="E679" s="83"/>
      <c r="F679" s="117">
        <f>2200*E679</f>
        <v>0</v>
      </c>
      <c r="G679" s="118"/>
    </row>
    <row r="680" spans="1:7" ht="15" thickBot="1" x14ac:dyDescent="0.4">
      <c r="A680" s="49" t="s">
        <v>323</v>
      </c>
      <c r="B680" s="58" t="s">
        <v>307</v>
      </c>
      <c r="C680" s="129" t="s">
        <v>309</v>
      </c>
      <c r="D680" s="130"/>
      <c r="E680" s="83"/>
      <c r="F680" s="117">
        <f>1700*E680</f>
        <v>0</v>
      </c>
      <c r="G680" s="118"/>
    </row>
    <row r="681" spans="1:7" ht="15" thickBot="1" x14ac:dyDescent="0.4">
      <c r="A681" s="49" t="s">
        <v>324</v>
      </c>
      <c r="B681" s="43" t="s">
        <v>356</v>
      </c>
      <c r="C681" s="129" t="s">
        <v>501</v>
      </c>
      <c r="D681" s="130"/>
      <c r="E681" s="83"/>
      <c r="F681" s="117">
        <f>500*E681</f>
        <v>0</v>
      </c>
      <c r="G681" s="118"/>
    </row>
    <row r="682" spans="1:7" ht="15" thickBot="1" x14ac:dyDescent="0.4">
      <c r="A682" s="49" t="s">
        <v>103</v>
      </c>
      <c r="B682" s="43" t="s">
        <v>310</v>
      </c>
      <c r="C682" s="129" t="s">
        <v>116</v>
      </c>
      <c r="D682" s="130"/>
      <c r="E682" s="83"/>
      <c r="F682" s="117">
        <f>22*E682</f>
        <v>0</v>
      </c>
      <c r="G682" s="118"/>
    </row>
    <row r="683" spans="1:7" ht="15" thickBot="1" x14ac:dyDescent="0.4">
      <c r="A683" s="49" t="s">
        <v>276</v>
      </c>
      <c r="B683" s="58" t="s">
        <v>311</v>
      </c>
      <c r="C683" s="129" t="s">
        <v>117</v>
      </c>
      <c r="D683" s="130"/>
      <c r="E683" s="83"/>
      <c r="F683" s="117">
        <f>30*E683</f>
        <v>0</v>
      </c>
      <c r="G683" s="118"/>
    </row>
    <row r="684" spans="1:7" ht="15" thickBot="1" x14ac:dyDescent="0.4">
      <c r="A684" s="49" t="s">
        <v>277</v>
      </c>
      <c r="B684" s="43" t="s">
        <v>357</v>
      </c>
      <c r="C684" s="129" t="s">
        <v>502</v>
      </c>
      <c r="D684" s="130"/>
      <c r="E684" s="83"/>
      <c r="F684" s="117">
        <f>28*E684</f>
        <v>0</v>
      </c>
      <c r="G684" s="118"/>
    </row>
    <row r="685" spans="1:7" ht="15" thickBot="1" x14ac:dyDescent="0.4">
      <c r="A685" s="49" t="s">
        <v>104</v>
      </c>
      <c r="B685" s="43" t="s">
        <v>312</v>
      </c>
      <c r="C685" s="129" t="s">
        <v>503</v>
      </c>
      <c r="D685" s="130"/>
      <c r="E685" s="83"/>
      <c r="F685" s="117">
        <f>3670*E685</f>
        <v>0</v>
      </c>
      <c r="G685" s="118"/>
    </row>
    <row r="686" spans="1:7" ht="15" thickBot="1" x14ac:dyDescent="0.4">
      <c r="A686" s="49" t="s">
        <v>278</v>
      </c>
      <c r="B686" s="58" t="s">
        <v>313</v>
      </c>
      <c r="C686" s="129" t="s">
        <v>504</v>
      </c>
      <c r="D686" s="130"/>
      <c r="E686" s="83"/>
      <c r="F686" s="117">
        <f>615*E686</f>
        <v>0</v>
      </c>
      <c r="G686" s="118"/>
    </row>
    <row r="687" spans="1:7" ht="15" thickBot="1" x14ac:dyDescent="0.4">
      <c r="A687" s="49" t="s">
        <v>279</v>
      </c>
      <c r="B687" s="43" t="s">
        <v>358</v>
      </c>
      <c r="C687" s="129" t="s">
        <v>505</v>
      </c>
      <c r="D687" s="130"/>
      <c r="E687" s="83"/>
      <c r="F687" s="117">
        <f>620*E687</f>
        <v>0</v>
      </c>
      <c r="G687" s="118"/>
    </row>
    <row r="688" spans="1:7" ht="15" thickBot="1" x14ac:dyDescent="0.4">
      <c r="A688" s="49" t="s">
        <v>105</v>
      </c>
      <c r="B688" s="43" t="s">
        <v>314</v>
      </c>
      <c r="C688" s="129" t="s">
        <v>494</v>
      </c>
      <c r="D688" s="130"/>
      <c r="E688" s="83"/>
      <c r="F688" s="117">
        <f>73400*E688</f>
        <v>0</v>
      </c>
      <c r="G688" s="118"/>
    </row>
    <row r="689" spans="1:7" ht="15" thickBot="1" x14ac:dyDescent="0.4">
      <c r="A689" s="49" t="s">
        <v>280</v>
      </c>
      <c r="B689" s="58" t="s">
        <v>315</v>
      </c>
      <c r="C689" s="129" t="s">
        <v>495</v>
      </c>
      <c r="D689" s="130"/>
      <c r="E689" s="83"/>
      <c r="F689" s="117">
        <f>12300*E689</f>
        <v>0</v>
      </c>
      <c r="G689" s="118"/>
    </row>
    <row r="690" spans="1:7" ht="15" thickBot="1" x14ac:dyDescent="0.4">
      <c r="A690" s="49" t="s">
        <v>281</v>
      </c>
      <c r="B690" s="43" t="s">
        <v>359</v>
      </c>
      <c r="C690" s="129" t="s">
        <v>496</v>
      </c>
      <c r="D690" s="130"/>
      <c r="E690" s="83"/>
      <c r="F690" s="117">
        <f>12400*E690</f>
        <v>0</v>
      </c>
      <c r="G690" s="118"/>
    </row>
    <row r="691" spans="1:7" ht="15" thickBot="1" x14ac:dyDescent="0.4">
      <c r="A691" s="49" t="s">
        <v>106</v>
      </c>
      <c r="B691" s="43" t="s">
        <v>511</v>
      </c>
      <c r="C691" s="129" t="s">
        <v>385</v>
      </c>
      <c r="D691" s="130"/>
      <c r="E691" s="83"/>
      <c r="F691" s="117">
        <f>400*E691</f>
        <v>0</v>
      </c>
      <c r="G691" s="118"/>
    </row>
    <row r="692" spans="1:7" ht="15" thickBot="1" x14ac:dyDescent="0.4">
      <c r="A692" s="49" t="s">
        <v>510</v>
      </c>
      <c r="B692" s="82" t="s">
        <v>183</v>
      </c>
      <c r="C692" s="129" t="s">
        <v>508</v>
      </c>
      <c r="D692" s="130"/>
      <c r="E692" s="83"/>
      <c r="F692" s="117">
        <f>2100*E692</f>
        <v>0</v>
      </c>
      <c r="G692" s="118"/>
    </row>
    <row r="693" spans="1:7" x14ac:dyDescent="0.35">
      <c r="A693" s="41"/>
      <c r="B693" s="41"/>
      <c r="C693" s="41"/>
      <c r="D693" s="41"/>
      <c r="E693" s="41"/>
      <c r="F693" s="41"/>
      <c r="G693" s="41"/>
    </row>
    <row r="694" spans="1:7" x14ac:dyDescent="0.35">
      <c r="A694" s="145" t="s">
        <v>325</v>
      </c>
      <c r="B694" s="145"/>
      <c r="C694" s="145"/>
      <c r="D694" s="145"/>
      <c r="E694" s="145"/>
      <c r="F694" s="146">
        <f>SUM(F622:G644,F646:G668,F670:G692)</f>
        <v>0</v>
      </c>
      <c r="G694" s="146"/>
    </row>
    <row r="695" spans="1:7" x14ac:dyDescent="0.35">
      <c r="A695" s="94"/>
      <c r="B695" s="94"/>
      <c r="C695" s="94"/>
      <c r="D695" s="94"/>
      <c r="E695" s="94"/>
      <c r="F695" s="55"/>
      <c r="G695" s="55"/>
    </row>
    <row r="696" spans="1:7" x14ac:dyDescent="0.35">
      <c r="A696" s="225" t="s">
        <v>536</v>
      </c>
      <c r="B696" s="226"/>
      <c r="C696" s="226"/>
      <c r="D696" s="226"/>
      <c r="E696" s="226"/>
      <c r="F696" s="226"/>
      <c r="G696" s="226"/>
    </row>
    <row r="697" spans="1:7" x14ac:dyDescent="0.35">
      <c r="A697" s="95"/>
      <c r="B697" s="96"/>
      <c r="C697" s="96"/>
      <c r="D697" s="96"/>
      <c r="E697" s="96"/>
      <c r="F697" s="96"/>
      <c r="G697" s="96"/>
    </row>
    <row r="698" spans="1:7" x14ac:dyDescent="0.35">
      <c r="A698" s="227" t="s">
        <v>550</v>
      </c>
      <c r="B698" s="227"/>
      <c r="C698" s="227"/>
      <c r="D698" s="227"/>
      <c r="E698" s="227"/>
      <c r="F698" s="227"/>
      <c r="G698" s="227"/>
    </row>
    <row r="699" spans="1:7" x14ac:dyDescent="0.35">
      <c r="A699" s="64"/>
      <c r="B699" s="64"/>
      <c r="C699" s="64"/>
      <c r="D699" s="64"/>
      <c r="E699" s="64"/>
      <c r="F699" s="64"/>
      <c r="G699" s="64"/>
    </row>
    <row r="700" spans="1:7" x14ac:dyDescent="0.35">
      <c r="A700" s="228" t="s">
        <v>542</v>
      </c>
      <c r="B700" s="229"/>
      <c r="C700" s="229"/>
      <c r="D700" s="229"/>
      <c r="E700" s="229"/>
      <c r="F700" s="229"/>
      <c r="G700" s="229"/>
    </row>
    <row r="701" spans="1:7" x14ac:dyDescent="0.35">
      <c r="A701" s="229"/>
      <c r="B701" s="229"/>
      <c r="C701" s="229"/>
      <c r="D701" s="229"/>
      <c r="E701" s="229"/>
      <c r="F701" s="229"/>
      <c r="G701" s="229"/>
    </row>
    <row r="702" spans="1:7" x14ac:dyDescent="0.35">
      <c r="A702" s="97"/>
      <c r="B702" s="97"/>
      <c r="C702" s="97"/>
      <c r="D702" s="97"/>
      <c r="E702" s="97"/>
      <c r="F702" s="97"/>
      <c r="G702" s="97"/>
    </row>
    <row r="703" spans="1:7" x14ac:dyDescent="0.35">
      <c r="A703" s="230" t="s">
        <v>540</v>
      </c>
      <c r="B703" s="230"/>
      <c r="C703" s="230"/>
      <c r="D703" s="230"/>
      <c r="E703" s="230"/>
      <c r="F703" s="230"/>
      <c r="G703" s="230"/>
    </row>
    <row r="704" spans="1:7" ht="14.5" customHeight="1" thickBot="1" x14ac:dyDescent="0.4">
      <c r="A704" s="95"/>
      <c r="B704" s="96"/>
      <c r="C704" s="96"/>
      <c r="D704" s="96"/>
      <c r="E704" s="96"/>
      <c r="F704" s="96"/>
      <c r="G704" s="96"/>
    </row>
    <row r="705" spans="1:7" ht="15" thickBot="1" x14ac:dyDescent="0.4">
      <c r="A705" s="231" t="s">
        <v>532</v>
      </c>
      <c r="B705" s="232"/>
      <c r="C705" s="233" t="s">
        <v>1</v>
      </c>
      <c r="D705" s="234"/>
      <c r="E705" s="233" t="s">
        <v>2</v>
      </c>
      <c r="F705" s="235"/>
      <c r="G705" s="234"/>
    </row>
    <row r="706" spans="1:7" ht="15" thickBot="1" x14ac:dyDescent="0.4">
      <c r="A706" s="98" t="s">
        <v>533</v>
      </c>
      <c r="B706" s="98" t="s">
        <v>5</v>
      </c>
      <c r="C706" s="233" t="s">
        <v>535</v>
      </c>
      <c r="D706" s="234"/>
      <c r="E706" s="236" t="s">
        <v>534</v>
      </c>
      <c r="F706" s="237"/>
      <c r="G706" s="238"/>
    </row>
    <row r="707" spans="1:7" ht="15" thickBot="1" x14ac:dyDescent="0.4">
      <c r="A707" s="106" t="s">
        <v>81</v>
      </c>
      <c r="B707" s="107" t="s">
        <v>195</v>
      </c>
      <c r="C707" s="107"/>
      <c r="D707" s="107"/>
      <c r="E707" s="107"/>
      <c r="F707" s="107"/>
      <c r="G707" s="108"/>
    </row>
    <row r="708" spans="1:7" ht="15" thickBot="1" x14ac:dyDescent="0.4">
      <c r="A708" s="99">
        <v>1.1000000000000001</v>
      </c>
      <c r="B708" s="100" t="s">
        <v>537</v>
      </c>
      <c r="C708" s="216" t="s">
        <v>547</v>
      </c>
      <c r="D708" s="217"/>
      <c r="E708" s="218"/>
      <c r="F708" s="219"/>
      <c r="G708" s="220"/>
    </row>
    <row r="709" spans="1:7" ht="15" customHeight="1" thickBot="1" x14ac:dyDescent="0.4">
      <c r="A709" s="99">
        <v>1.2</v>
      </c>
      <c r="B709" s="100" t="s">
        <v>539</v>
      </c>
      <c r="C709" s="216" t="s">
        <v>548</v>
      </c>
      <c r="D709" s="217"/>
      <c r="E709" s="218"/>
      <c r="F709" s="219"/>
      <c r="G709" s="220"/>
    </row>
    <row r="710" spans="1:7" ht="15" customHeight="1" thickBot="1" x14ac:dyDescent="0.4">
      <c r="A710" s="99">
        <v>1.3</v>
      </c>
      <c r="B710" s="100" t="s">
        <v>538</v>
      </c>
      <c r="C710" s="216" t="s">
        <v>549</v>
      </c>
      <c r="D710" s="217"/>
      <c r="E710" s="218"/>
      <c r="F710" s="219"/>
      <c r="G710" s="220"/>
    </row>
    <row r="711" spans="1:7" ht="15" thickBot="1" x14ac:dyDescent="0.4">
      <c r="A711" s="109" t="s">
        <v>80</v>
      </c>
      <c r="B711" s="110" t="s">
        <v>197</v>
      </c>
      <c r="C711" s="221"/>
      <c r="D711" s="239"/>
      <c r="E711" s="111"/>
      <c r="F711" s="221"/>
      <c r="G711" s="222"/>
    </row>
    <row r="712" spans="1:7" ht="15" thickBot="1" x14ac:dyDescent="0.4">
      <c r="A712" s="99">
        <v>2.1</v>
      </c>
      <c r="B712" s="100" t="s">
        <v>537</v>
      </c>
      <c r="C712" s="216" t="s">
        <v>544</v>
      </c>
      <c r="D712" s="217"/>
      <c r="E712" s="218"/>
      <c r="F712" s="219"/>
      <c r="G712" s="220"/>
    </row>
    <row r="713" spans="1:7" ht="15" thickBot="1" x14ac:dyDescent="0.4">
      <c r="A713" s="99">
        <v>2.2000000000000002</v>
      </c>
      <c r="B713" s="100" t="s">
        <v>539</v>
      </c>
      <c r="C713" s="216" t="s">
        <v>545</v>
      </c>
      <c r="D713" s="217"/>
      <c r="E713" s="218"/>
      <c r="F713" s="219"/>
      <c r="G713" s="220"/>
    </row>
    <row r="714" spans="1:7" ht="15" thickBot="1" x14ac:dyDescent="0.4">
      <c r="A714" s="99">
        <v>2.2999999999999998</v>
      </c>
      <c r="B714" s="100" t="s">
        <v>538</v>
      </c>
      <c r="C714" s="216" t="s">
        <v>546</v>
      </c>
      <c r="D714" s="217"/>
      <c r="E714" s="218"/>
      <c r="F714" s="219"/>
      <c r="G714" s="220"/>
    </row>
    <row r="715" spans="1:7" ht="15" thickBot="1" x14ac:dyDescent="0.4">
      <c r="A715" s="112" t="s">
        <v>82</v>
      </c>
      <c r="B715" s="110" t="s">
        <v>199</v>
      </c>
      <c r="C715" s="111"/>
      <c r="D715" s="111"/>
      <c r="E715" s="111"/>
      <c r="F715" s="221"/>
      <c r="G715" s="222"/>
    </row>
    <row r="716" spans="1:7" ht="15" thickBot="1" x14ac:dyDescent="0.4">
      <c r="A716" s="99">
        <v>3.1</v>
      </c>
      <c r="B716" s="100" t="s">
        <v>537</v>
      </c>
      <c r="C716" s="216" t="s">
        <v>544</v>
      </c>
      <c r="D716" s="217"/>
      <c r="E716" s="218"/>
      <c r="F716" s="219"/>
      <c r="G716" s="220"/>
    </row>
    <row r="717" spans="1:7" ht="15" thickBot="1" x14ac:dyDescent="0.4">
      <c r="A717" s="99">
        <v>3.2</v>
      </c>
      <c r="B717" s="100" t="s">
        <v>539</v>
      </c>
      <c r="C717" s="216" t="s">
        <v>545</v>
      </c>
      <c r="D717" s="217"/>
      <c r="E717" s="218"/>
      <c r="F717" s="219"/>
      <c r="G717" s="220"/>
    </row>
    <row r="718" spans="1:7" ht="15" thickBot="1" x14ac:dyDescent="0.4">
      <c r="A718" s="99">
        <v>3.3</v>
      </c>
      <c r="B718" s="100" t="s">
        <v>538</v>
      </c>
      <c r="C718" s="216" t="s">
        <v>546</v>
      </c>
      <c r="D718" s="217"/>
      <c r="E718" s="218"/>
      <c r="F718" s="219"/>
      <c r="G718" s="220"/>
    </row>
    <row r="719" spans="1:7" x14ac:dyDescent="0.35">
      <c r="A719" s="101"/>
      <c r="B719" s="102"/>
      <c r="C719" s="103"/>
      <c r="D719" s="103"/>
      <c r="E719" s="104"/>
      <c r="F719" s="105"/>
      <c r="G719" s="105"/>
    </row>
    <row r="720" spans="1:7" x14ac:dyDescent="0.35">
      <c r="A720" s="223" t="s">
        <v>541</v>
      </c>
      <c r="B720" s="223"/>
      <c r="C720" s="223"/>
      <c r="D720" s="223"/>
      <c r="E720" s="223"/>
      <c r="F720" s="224">
        <f>SUM(E708:G710,E712:G714,E716:G718)</f>
        <v>0</v>
      </c>
      <c r="G720" s="224"/>
    </row>
    <row r="721" spans="1:7" x14ac:dyDescent="0.35">
      <c r="A721" s="41"/>
      <c r="B721" s="41"/>
      <c r="C721" s="41"/>
      <c r="D721" s="41"/>
      <c r="E721" s="41"/>
      <c r="F721" s="41"/>
      <c r="G721" s="41"/>
    </row>
    <row r="722" spans="1:7" ht="15" thickBot="1" x14ac:dyDescent="0.4">
      <c r="A722" s="41"/>
      <c r="B722" s="41"/>
      <c r="C722" s="41"/>
      <c r="D722" s="41"/>
      <c r="E722" s="41"/>
      <c r="F722" s="41"/>
      <c r="G722" s="41"/>
    </row>
    <row r="723" spans="1:7" ht="15" thickTop="1" x14ac:dyDescent="0.35">
      <c r="A723" s="147" t="s">
        <v>128</v>
      </c>
      <c r="B723" s="147"/>
      <c r="C723" s="147"/>
      <c r="D723" s="147"/>
      <c r="E723" s="148"/>
      <c r="F723" s="149">
        <f>SUM(SUM(F77,F103,F171,F277,F305,F321,F335,F434,F489,F582,F694,F720)*12, (SUM(F609,F186)))</f>
        <v>684000</v>
      </c>
      <c r="G723" s="150"/>
    </row>
    <row r="724" spans="1:7" ht="15" thickBot="1" x14ac:dyDescent="0.4">
      <c r="A724" s="147"/>
      <c r="B724" s="147"/>
      <c r="C724" s="147"/>
      <c r="D724" s="147"/>
      <c r="E724" s="148"/>
      <c r="F724" s="151"/>
      <c r="G724" s="152"/>
    </row>
    <row r="725" spans="1:7" ht="15" thickTop="1" x14ac:dyDescent="0.35">
      <c r="A725" s="48"/>
      <c r="B725" s="48"/>
      <c r="C725" s="48"/>
      <c r="D725" s="48"/>
      <c r="E725" s="48"/>
      <c r="F725" s="48"/>
      <c r="G725" s="48"/>
    </row>
    <row r="726" spans="1:7" x14ac:dyDescent="0.35">
      <c r="A726" s="144" t="s">
        <v>543</v>
      </c>
      <c r="B726" s="144"/>
      <c r="C726" s="144"/>
      <c r="D726" s="144"/>
      <c r="E726" s="144"/>
      <c r="F726" s="144"/>
      <c r="G726" s="144"/>
    </row>
    <row r="727" spans="1:7" x14ac:dyDescent="0.35">
      <c r="A727" s="1"/>
      <c r="B727" s="1"/>
      <c r="C727" s="1"/>
      <c r="D727" s="1"/>
      <c r="E727" s="1"/>
      <c r="F727" s="1"/>
      <c r="G727" s="1"/>
    </row>
    <row r="728" spans="1:7" x14ac:dyDescent="0.35">
      <c r="A728" s="1"/>
      <c r="B728" s="1"/>
      <c r="C728" s="1"/>
      <c r="D728" s="1"/>
      <c r="E728" s="1"/>
      <c r="F728" s="1"/>
      <c r="G728" s="1"/>
    </row>
  </sheetData>
  <sheetProtection algorithmName="SHA-512" hashValue="EYOC0jiQyCMXn/I1qiWw7IiqMXVGwm7rKEfn2LfPAUki6UAVxzIJvGgg9d+PoEd3mVSMUH2ua9aa3VHuE7Hs5Q==" saltValue="SH0ym2ycLApGi/Ny6ir5Dw==" spinCount="100000" sheet="1" objects="1" scenarios="1" formatColumns="0"/>
  <mergeCells count="857">
    <mergeCell ref="C717:D717"/>
    <mergeCell ref="E717:G717"/>
    <mergeCell ref="C718:D718"/>
    <mergeCell ref="E718:G718"/>
    <mergeCell ref="A720:E720"/>
    <mergeCell ref="F720:G720"/>
    <mergeCell ref="A696:G696"/>
    <mergeCell ref="A698:G698"/>
    <mergeCell ref="A700:G701"/>
    <mergeCell ref="A703:G703"/>
    <mergeCell ref="A705:B705"/>
    <mergeCell ref="C705:D705"/>
    <mergeCell ref="E705:G705"/>
    <mergeCell ref="C706:D706"/>
    <mergeCell ref="E706:G706"/>
    <mergeCell ref="C708:D708"/>
    <mergeCell ref="E708:G708"/>
    <mergeCell ref="C709:D709"/>
    <mergeCell ref="E709:G709"/>
    <mergeCell ref="C710:D710"/>
    <mergeCell ref="E710:G710"/>
    <mergeCell ref="C711:D711"/>
    <mergeCell ref="C712:D712"/>
    <mergeCell ref="E712:G712"/>
    <mergeCell ref="C713:D713"/>
    <mergeCell ref="E713:G713"/>
    <mergeCell ref="C714:D714"/>
    <mergeCell ref="E714:G714"/>
    <mergeCell ref="F715:G715"/>
    <mergeCell ref="C716:D716"/>
    <mergeCell ref="E716:G716"/>
    <mergeCell ref="F711:G711"/>
    <mergeCell ref="A56:G56"/>
    <mergeCell ref="F429:G429"/>
    <mergeCell ref="F475:G475"/>
    <mergeCell ref="F556:G556"/>
    <mergeCell ref="F604:G604"/>
    <mergeCell ref="C183:D183"/>
    <mergeCell ref="F183:F184"/>
    <mergeCell ref="C184:D184"/>
    <mergeCell ref="A186:E186"/>
    <mergeCell ref="F186:G186"/>
    <mergeCell ref="C570:D570"/>
    <mergeCell ref="C571:D571"/>
    <mergeCell ref="C573:D573"/>
    <mergeCell ref="C574:D574"/>
    <mergeCell ref="C576:D576"/>
    <mergeCell ref="C577:D577"/>
    <mergeCell ref="C578:D578"/>
    <mergeCell ref="C579:D579"/>
    <mergeCell ref="A584:G584"/>
    <mergeCell ref="C572:D572"/>
    <mergeCell ref="F572:G572"/>
    <mergeCell ref="C575:D575"/>
    <mergeCell ref="F575:G575"/>
    <mergeCell ref="C580:D580"/>
    <mergeCell ref="F686:G686"/>
    <mergeCell ref="F580:G580"/>
    <mergeCell ref="F655:G655"/>
    <mergeCell ref="F658:G658"/>
    <mergeCell ref="F656:G656"/>
    <mergeCell ref="F657:G657"/>
    <mergeCell ref="A588:G589"/>
    <mergeCell ref="F653:G653"/>
    <mergeCell ref="F649:G649"/>
    <mergeCell ref="F623:G623"/>
    <mergeCell ref="F624:G624"/>
    <mergeCell ref="F626:G626"/>
    <mergeCell ref="F627:G627"/>
    <mergeCell ref="F630:G630"/>
    <mergeCell ref="F632:G632"/>
    <mergeCell ref="F633:G633"/>
    <mergeCell ref="C689:D689"/>
    <mergeCell ref="C683:D683"/>
    <mergeCell ref="C684:D684"/>
    <mergeCell ref="F666:G666"/>
    <mergeCell ref="F670:G670"/>
    <mergeCell ref="F673:G673"/>
    <mergeCell ref="C668:D668"/>
    <mergeCell ref="F668:G668"/>
    <mergeCell ref="F669:G669"/>
    <mergeCell ref="F674:G674"/>
    <mergeCell ref="F675:G675"/>
    <mergeCell ref="F677:G677"/>
    <mergeCell ref="F678:G678"/>
    <mergeCell ref="F680:G680"/>
    <mergeCell ref="C673:D673"/>
    <mergeCell ref="C674:D674"/>
    <mergeCell ref="C675:D675"/>
    <mergeCell ref="C681:D681"/>
    <mergeCell ref="F600:G600"/>
    <mergeCell ref="C601:D601"/>
    <mergeCell ref="C602:D602"/>
    <mergeCell ref="F635:G635"/>
    <mergeCell ref="F636:G636"/>
    <mergeCell ref="C639:D639"/>
    <mergeCell ref="C640:D640"/>
    <mergeCell ref="C641:D641"/>
    <mergeCell ref="F661:G661"/>
    <mergeCell ref="F659:G659"/>
    <mergeCell ref="C647:D647"/>
    <mergeCell ref="C648:D648"/>
    <mergeCell ref="C650:D650"/>
    <mergeCell ref="C649:D649"/>
    <mergeCell ref="C644:D644"/>
    <mergeCell ref="C653:D653"/>
    <mergeCell ref="C643:D643"/>
    <mergeCell ref="C635:D635"/>
    <mergeCell ref="C636:D636"/>
    <mergeCell ref="C638:D638"/>
    <mergeCell ref="F638:G638"/>
    <mergeCell ref="C594:D594"/>
    <mergeCell ref="C603:D603"/>
    <mergeCell ref="C605:D605"/>
    <mergeCell ref="C606:D606"/>
    <mergeCell ref="C595:D595"/>
    <mergeCell ref="C597:D597"/>
    <mergeCell ref="C598:D598"/>
    <mergeCell ref="C599:D599"/>
    <mergeCell ref="C600:D600"/>
    <mergeCell ref="F553:G553"/>
    <mergeCell ref="F554:G554"/>
    <mergeCell ref="F558:G558"/>
    <mergeCell ref="F559:G559"/>
    <mergeCell ref="F561:G561"/>
    <mergeCell ref="F562:G562"/>
    <mergeCell ref="F566:G566"/>
    <mergeCell ref="F570:G570"/>
    <mergeCell ref="F571:G571"/>
    <mergeCell ref="C553:D553"/>
    <mergeCell ref="C554:D554"/>
    <mergeCell ref="C558:D558"/>
    <mergeCell ref="C559:D559"/>
    <mergeCell ref="C561:D561"/>
    <mergeCell ref="C562:D562"/>
    <mergeCell ref="C566:D566"/>
    <mergeCell ref="F520:G520"/>
    <mergeCell ref="F521:G521"/>
    <mergeCell ref="F534:G534"/>
    <mergeCell ref="F536:G536"/>
    <mergeCell ref="F537:G537"/>
    <mergeCell ref="F541:G541"/>
    <mergeCell ref="F542:G542"/>
    <mergeCell ref="F533:G533"/>
    <mergeCell ref="F538:G538"/>
    <mergeCell ref="C551:D551"/>
    <mergeCell ref="C552:D552"/>
    <mergeCell ref="C525:D525"/>
    <mergeCell ref="F525:G525"/>
    <mergeCell ref="F530:G530"/>
    <mergeCell ref="F532:G532"/>
    <mergeCell ref="F544:G544"/>
    <mergeCell ref="F547:G547"/>
    <mergeCell ref="A62:G63"/>
    <mergeCell ref="C71:D71"/>
    <mergeCell ref="F71:G71"/>
    <mergeCell ref="F550:G550"/>
    <mergeCell ref="F535:G535"/>
    <mergeCell ref="F539:G539"/>
    <mergeCell ref="F540:G540"/>
    <mergeCell ref="C545:D545"/>
    <mergeCell ref="C546:D546"/>
    <mergeCell ref="C548:D548"/>
    <mergeCell ref="C549:D549"/>
    <mergeCell ref="F549:G549"/>
    <mergeCell ref="F543:G543"/>
    <mergeCell ref="F545:G545"/>
    <mergeCell ref="F546:G546"/>
    <mergeCell ref="F548:G548"/>
    <mergeCell ref="F73:G73"/>
    <mergeCell ref="F99:G99"/>
    <mergeCell ref="F153:G153"/>
    <mergeCell ref="F251:G251"/>
    <mergeCell ref="F517:G517"/>
    <mergeCell ref="F518:G518"/>
    <mergeCell ref="C74:D74"/>
    <mergeCell ref="F74:G74"/>
    <mergeCell ref="F551:G551"/>
    <mergeCell ref="F552:G552"/>
    <mergeCell ref="C528:D528"/>
    <mergeCell ref="A1:G1"/>
    <mergeCell ref="C70:D70"/>
    <mergeCell ref="F70:G70"/>
    <mergeCell ref="C96:D96"/>
    <mergeCell ref="F96:G96"/>
    <mergeCell ref="C136:D136"/>
    <mergeCell ref="F136:G136"/>
    <mergeCell ref="A28:G28"/>
    <mergeCell ref="F68:G68"/>
    <mergeCell ref="C69:D69"/>
    <mergeCell ref="F69:G69"/>
    <mergeCell ref="A65:B65"/>
    <mergeCell ref="C65:D65"/>
    <mergeCell ref="F65:G65"/>
    <mergeCell ref="C66:D66"/>
    <mergeCell ref="F66:G66"/>
    <mergeCell ref="A77:E77"/>
    <mergeCell ref="C544:D544"/>
    <mergeCell ref="C547:D547"/>
    <mergeCell ref="C550:D550"/>
    <mergeCell ref="C535:D535"/>
    <mergeCell ref="C539:D539"/>
    <mergeCell ref="C540:D540"/>
    <mergeCell ref="C529:D529"/>
    <mergeCell ref="C533:D533"/>
    <mergeCell ref="C534:D534"/>
    <mergeCell ref="C536:D536"/>
    <mergeCell ref="C537:D537"/>
    <mergeCell ref="C541:D541"/>
    <mergeCell ref="C542:D542"/>
    <mergeCell ref="C543:D543"/>
    <mergeCell ref="C530:D530"/>
    <mergeCell ref="C532:D532"/>
    <mergeCell ref="C538:D538"/>
    <mergeCell ref="A3:G3"/>
    <mergeCell ref="A58:G58"/>
    <mergeCell ref="A60:G60"/>
    <mergeCell ref="A5:G5"/>
    <mergeCell ref="A7:G8"/>
    <mergeCell ref="A17:G17"/>
    <mergeCell ref="A19:G20"/>
    <mergeCell ref="A22:G22"/>
    <mergeCell ref="A24:G26"/>
    <mergeCell ref="A30:G31"/>
    <mergeCell ref="A10:G11"/>
    <mergeCell ref="A13:G13"/>
    <mergeCell ref="A15:E15"/>
    <mergeCell ref="F15:G15"/>
    <mergeCell ref="A33:G33"/>
    <mergeCell ref="A35:G35"/>
    <mergeCell ref="A37:G37"/>
    <mergeCell ref="A39:G39"/>
    <mergeCell ref="A41:G42"/>
    <mergeCell ref="A44:G44"/>
    <mergeCell ref="A46:G47"/>
    <mergeCell ref="A49:G49"/>
    <mergeCell ref="A51:G51"/>
    <mergeCell ref="A53:G54"/>
    <mergeCell ref="C68:D68"/>
    <mergeCell ref="C95:D95"/>
    <mergeCell ref="F95:G95"/>
    <mergeCell ref="A87:G87"/>
    <mergeCell ref="A89:G89"/>
    <mergeCell ref="A91:B91"/>
    <mergeCell ref="F91:G91"/>
    <mergeCell ref="C92:D92"/>
    <mergeCell ref="F92:G92"/>
    <mergeCell ref="C94:D94"/>
    <mergeCell ref="F94:G94"/>
    <mergeCell ref="A79:G79"/>
    <mergeCell ref="A81:G81"/>
    <mergeCell ref="A85:G85"/>
    <mergeCell ref="C75:D75"/>
    <mergeCell ref="F75:G75"/>
    <mergeCell ref="A83:G83"/>
    <mergeCell ref="C72:D72"/>
    <mergeCell ref="F72:G72"/>
    <mergeCell ref="C91:D91"/>
    <mergeCell ref="F77:G77"/>
    <mergeCell ref="C101:D101"/>
    <mergeCell ref="F101:G101"/>
    <mergeCell ref="A103:E103"/>
    <mergeCell ref="A105:G105"/>
    <mergeCell ref="A107:G108"/>
    <mergeCell ref="F103:G103"/>
    <mergeCell ref="C97:D97"/>
    <mergeCell ref="F97:G97"/>
    <mergeCell ref="C98:D98"/>
    <mergeCell ref="F98:G98"/>
    <mergeCell ref="C100:D100"/>
    <mergeCell ref="F100:G100"/>
    <mergeCell ref="A113:G115"/>
    <mergeCell ref="A117:B117"/>
    <mergeCell ref="C117:D117"/>
    <mergeCell ref="C118:D118"/>
    <mergeCell ref="A120:A121"/>
    <mergeCell ref="B120:B121"/>
    <mergeCell ref="C120:D120"/>
    <mergeCell ref="F120:F121"/>
    <mergeCell ref="C121:D121"/>
    <mergeCell ref="A124:A125"/>
    <mergeCell ref="B124:B125"/>
    <mergeCell ref="C124:D124"/>
    <mergeCell ref="F124:F125"/>
    <mergeCell ref="C125:D125"/>
    <mergeCell ref="A122:A123"/>
    <mergeCell ref="B122:B123"/>
    <mergeCell ref="C122:D122"/>
    <mergeCell ref="F122:F123"/>
    <mergeCell ref="C123:D123"/>
    <mergeCell ref="A126:A127"/>
    <mergeCell ref="B126:B127"/>
    <mergeCell ref="C126:D126"/>
    <mergeCell ref="F126:F127"/>
    <mergeCell ref="C127:D127"/>
    <mergeCell ref="A128:A129"/>
    <mergeCell ref="B128:B129"/>
    <mergeCell ref="C128:D128"/>
    <mergeCell ref="F128:F129"/>
    <mergeCell ref="C129:D129"/>
    <mergeCell ref="A130:A131"/>
    <mergeCell ref="B130:B131"/>
    <mergeCell ref="C130:D130"/>
    <mergeCell ref="F130:F131"/>
    <mergeCell ref="C131:D131"/>
    <mergeCell ref="A132:A133"/>
    <mergeCell ref="B132:B133"/>
    <mergeCell ref="C132:D132"/>
    <mergeCell ref="F132:F133"/>
    <mergeCell ref="C133:D133"/>
    <mergeCell ref="A137:A138"/>
    <mergeCell ref="B137:B138"/>
    <mergeCell ref="C137:D137"/>
    <mergeCell ref="F137:F138"/>
    <mergeCell ref="C138:D138"/>
    <mergeCell ref="A134:A135"/>
    <mergeCell ref="B134:B135"/>
    <mergeCell ref="C134:D134"/>
    <mergeCell ref="F134:F135"/>
    <mergeCell ref="C135:D135"/>
    <mergeCell ref="A141:A142"/>
    <mergeCell ref="B141:B142"/>
    <mergeCell ref="C141:D141"/>
    <mergeCell ref="F141:F142"/>
    <mergeCell ref="C142:D142"/>
    <mergeCell ref="A139:A140"/>
    <mergeCell ref="B139:B140"/>
    <mergeCell ref="C139:D139"/>
    <mergeCell ref="F139:F140"/>
    <mergeCell ref="C140:D140"/>
    <mergeCell ref="A143:A144"/>
    <mergeCell ref="B143:B144"/>
    <mergeCell ref="C143:D143"/>
    <mergeCell ref="F143:F144"/>
    <mergeCell ref="C144:D144"/>
    <mergeCell ref="A145:A146"/>
    <mergeCell ref="B145:B146"/>
    <mergeCell ref="C145:D145"/>
    <mergeCell ref="F145:F146"/>
    <mergeCell ref="C146:D146"/>
    <mergeCell ref="A147:A148"/>
    <mergeCell ref="B147:B148"/>
    <mergeCell ref="C147:D147"/>
    <mergeCell ref="F147:F148"/>
    <mergeCell ref="C148:D148"/>
    <mergeCell ref="A149:A150"/>
    <mergeCell ref="B149:B150"/>
    <mergeCell ref="C149:D149"/>
    <mergeCell ref="F149:F150"/>
    <mergeCell ref="C150:D150"/>
    <mergeCell ref="A154:A155"/>
    <mergeCell ref="B154:B155"/>
    <mergeCell ref="C154:D154"/>
    <mergeCell ref="F154:F155"/>
    <mergeCell ref="C155:D155"/>
    <mergeCell ref="A151:A152"/>
    <mergeCell ref="B151:B152"/>
    <mergeCell ref="C151:D151"/>
    <mergeCell ref="F151:F152"/>
    <mergeCell ref="C152:D152"/>
    <mergeCell ref="A158:A159"/>
    <mergeCell ref="B158:B159"/>
    <mergeCell ref="C158:D158"/>
    <mergeCell ref="F158:F159"/>
    <mergeCell ref="C159:D159"/>
    <mergeCell ref="A156:A157"/>
    <mergeCell ref="B156:B157"/>
    <mergeCell ref="C156:D156"/>
    <mergeCell ref="F156:F157"/>
    <mergeCell ref="C157:D157"/>
    <mergeCell ref="A160:A161"/>
    <mergeCell ref="B160:B161"/>
    <mergeCell ref="C160:D160"/>
    <mergeCell ref="F160:F161"/>
    <mergeCell ref="C161:D161"/>
    <mergeCell ref="A162:A163"/>
    <mergeCell ref="B162:B163"/>
    <mergeCell ref="C162:D162"/>
    <mergeCell ref="F162:F163"/>
    <mergeCell ref="C163:D163"/>
    <mergeCell ref="A164:A165"/>
    <mergeCell ref="B164:B165"/>
    <mergeCell ref="C164:D164"/>
    <mergeCell ref="F164:F165"/>
    <mergeCell ref="C165:D165"/>
    <mergeCell ref="A166:A167"/>
    <mergeCell ref="B166:B167"/>
    <mergeCell ref="C166:D166"/>
    <mergeCell ref="F166:F167"/>
    <mergeCell ref="C167:D167"/>
    <mergeCell ref="A168:A169"/>
    <mergeCell ref="B168:B169"/>
    <mergeCell ref="C168:D168"/>
    <mergeCell ref="F168:F169"/>
    <mergeCell ref="C169:D169"/>
    <mergeCell ref="A192:G193"/>
    <mergeCell ref="A173:G173"/>
    <mergeCell ref="A175:G176"/>
    <mergeCell ref="A178:B178"/>
    <mergeCell ref="C178:D178"/>
    <mergeCell ref="C179:D179"/>
    <mergeCell ref="A181:A182"/>
    <mergeCell ref="B181:B182"/>
    <mergeCell ref="C181:D181"/>
    <mergeCell ref="F181:F182"/>
    <mergeCell ref="C182:D182"/>
    <mergeCell ref="A183:A184"/>
    <mergeCell ref="B183:B184"/>
    <mergeCell ref="A199:C199"/>
    <mergeCell ref="A202:A203"/>
    <mergeCell ref="B202:B203"/>
    <mergeCell ref="A204:A205"/>
    <mergeCell ref="B204:B205"/>
    <mergeCell ref="A171:E171"/>
    <mergeCell ref="F171:G171"/>
    <mergeCell ref="A188:G188"/>
    <mergeCell ref="A190:G190"/>
    <mergeCell ref="A195:G197"/>
    <mergeCell ref="A212:A213"/>
    <mergeCell ref="B212:B213"/>
    <mergeCell ref="A214:A215"/>
    <mergeCell ref="B214:B215"/>
    <mergeCell ref="A216:A217"/>
    <mergeCell ref="B216:B217"/>
    <mergeCell ref="A206:A207"/>
    <mergeCell ref="B206:B207"/>
    <mergeCell ref="A208:A209"/>
    <mergeCell ref="B208:B209"/>
    <mergeCell ref="A210:A211"/>
    <mergeCell ref="B210:B211"/>
    <mergeCell ref="A229:A230"/>
    <mergeCell ref="B229:B230"/>
    <mergeCell ref="A231:A232"/>
    <mergeCell ref="B231:B232"/>
    <mergeCell ref="A224:A225"/>
    <mergeCell ref="B224:B225"/>
    <mergeCell ref="A222:A223"/>
    <mergeCell ref="B222:B223"/>
    <mergeCell ref="A218:A219"/>
    <mergeCell ref="B218:B219"/>
    <mergeCell ref="A220:A221"/>
    <mergeCell ref="B220:B221"/>
    <mergeCell ref="A252:A253"/>
    <mergeCell ref="B252:B253"/>
    <mergeCell ref="A247:A248"/>
    <mergeCell ref="B247:B248"/>
    <mergeCell ref="A249:A250"/>
    <mergeCell ref="B249:B250"/>
    <mergeCell ref="C226:D226"/>
    <mergeCell ref="F226:G226"/>
    <mergeCell ref="A245:A246"/>
    <mergeCell ref="B245:B246"/>
    <mergeCell ref="A239:A240"/>
    <mergeCell ref="B239:B240"/>
    <mergeCell ref="A241:A242"/>
    <mergeCell ref="B241:B242"/>
    <mergeCell ref="A243:A244"/>
    <mergeCell ref="B243:B244"/>
    <mergeCell ref="A233:A234"/>
    <mergeCell ref="B233:B234"/>
    <mergeCell ref="A235:A236"/>
    <mergeCell ref="B235:B236"/>
    <mergeCell ref="A237:A238"/>
    <mergeCell ref="B237:B238"/>
    <mergeCell ref="A227:A228"/>
    <mergeCell ref="B227:B228"/>
    <mergeCell ref="A260:A261"/>
    <mergeCell ref="B260:B261"/>
    <mergeCell ref="A262:A263"/>
    <mergeCell ref="B262:B263"/>
    <mergeCell ref="A264:A265"/>
    <mergeCell ref="B264:B265"/>
    <mergeCell ref="A254:A255"/>
    <mergeCell ref="B254:B255"/>
    <mergeCell ref="A256:A257"/>
    <mergeCell ref="B256:B257"/>
    <mergeCell ref="A258:A259"/>
    <mergeCell ref="B258:B259"/>
    <mergeCell ref="A277:E277"/>
    <mergeCell ref="F277:G277"/>
    <mergeCell ref="A272:A273"/>
    <mergeCell ref="B272:B273"/>
    <mergeCell ref="A274:A275"/>
    <mergeCell ref="B274:B275"/>
    <mergeCell ref="A266:A267"/>
    <mergeCell ref="B266:B267"/>
    <mergeCell ref="A268:A269"/>
    <mergeCell ref="B268:B269"/>
    <mergeCell ref="A270:A271"/>
    <mergeCell ref="B270:B271"/>
    <mergeCell ref="A319:G319"/>
    <mergeCell ref="A321:E321"/>
    <mergeCell ref="F321:G321"/>
    <mergeCell ref="A311:G312"/>
    <mergeCell ref="A316:G317"/>
    <mergeCell ref="A325:G325"/>
    <mergeCell ref="F300:G300"/>
    <mergeCell ref="A279:G279"/>
    <mergeCell ref="A281:G281"/>
    <mergeCell ref="A286:G288"/>
    <mergeCell ref="A283:G284"/>
    <mergeCell ref="A290:C290"/>
    <mergeCell ref="A305:E305"/>
    <mergeCell ref="F305:G305"/>
    <mergeCell ref="C296:D296"/>
    <mergeCell ref="F296:G296"/>
    <mergeCell ref="A307:G307"/>
    <mergeCell ref="A309:G309"/>
    <mergeCell ref="A314:E314"/>
    <mergeCell ref="F314:G314"/>
    <mergeCell ref="A359:A360"/>
    <mergeCell ref="B359:B360"/>
    <mergeCell ref="D368:E368"/>
    <mergeCell ref="D369:E369"/>
    <mergeCell ref="D370:E370"/>
    <mergeCell ref="A323:G323"/>
    <mergeCell ref="A327:G327"/>
    <mergeCell ref="A329:G329"/>
    <mergeCell ref="A331:B331"/>
    <mergeCell ref="A333:D333"/>
    <mergeCell ref="A335:B335"/>
    <mergeCell ref="F331:G331"/>
    <mergeCell ref="F335:G335"/>
    <mergeCell ref="A361:A362"/>
    <mergeCell ref="B361:B362"/>
    <mergeCell ref="A363:A364"/>
    <mergeCell ref="B363:B364"/>
    <mergeCell ref="A365:A366"/>
    <mergeCell ref="B365:B366"/>
    <mergeCell ref="A367:A368"/>
    <mergeCell ref="B367:B368"/>
    <mergeCell ref="A369:A370"/>
    <mergeCell ref="B369:B370"/>
    <mergeCell ref="D358:E358"/>
    <mergeCell ref="A396:G397"/>
    <mergeCell ref="A399:F399"/>
    <mergeCell ref="A403:G403"/>
    <mergeCell ref="A405:G405"/>
    <mergeCell ref="A401:G401"/>
    <mergeCell ref="A337:G337"/>
    <mergeCell ref="A339:G339"/>
    <mergeCell ref="A341:G342"/>
    <mergeCell ref="A382:G382"/>
    <mergeCell ref="A384:G384"/>
    <mergeCell ref="A392:G394"/>
    <mergeCell ref="A344:G344"/>
    <mergeCell ref="A346:G346"/>
    <mergeCell ref="D348:E348"/>
    <mergeCell ref="A349:A350"/>
    <mergeCell ref="B349:B350"/>
    <mergeCell ref="A351:A352"/>
    <mergeCell ref="B351:B352"/>
    <mergeCell ref="A353:A354"/>
    <mergeCell ref="B353:B354"/>
    <mergeCell ref="A355:A356"/>
    <mergeCell ref="B355:B356"/>
    <mergeCell ref="A357:A358"/>
    <mergeCell ref="B357:B358"/>
    <mergeCell ref="C422:D422"/>
    <mergeCell ref="F422:G422"/>
    <mergeCell ref="C423:D423"/>
    <mergeCell ref="F423:G423"/>
    <mergeCell ref="C424:D424"/>
    <mergeCell ref="F424:G424"/>
    <mergeCell ref="A415:G415"/>
    <mergeCell ref="A417:G417"/>
    <mergeCell ref="A419:B419"/>
    <mergeCell ref="C419:D419"/>
    <mergeCell ref="F419:G419"/>
    <mergeCell ref="C420:D420"/>
    <mergeCell ref="F420:G420"/>
    <mergeCell ref="C425:D425"/>
    <mergeCell ref="F425:G425"/>
    <mergeCell ref="A447:B447"/>
    <mergeCell ref="A450:A451"/>
    <mergeCell ref="B450:B451"/>
    <mergeCell ref="A452:A453"/>
    <mergeCell ref="B452:B453"/>
    <mergeCell ref="A434:E434"/>
    <mergeCell ref="F434:G434"/>
    <mergeCell ref="A436:G436"/>
    <mergeCell ref="A438:G438"/>
    <mergeCell ref="A443:G445"/>
    <mergeCell ref="C430:D430"/>
    <mergeCell ref="F430:G430"/>
    <mergeCell ref="C431:D431"/>
    <mergeCell ref="F431:G431"/>
    <mergeCell ref="C432:D432"/>
    <mergeCell ref="F432:G432"/>
    <mergeCell ref="C426:D426"/>
    <mergeCell ref="F426:G426"/>
    <mergeCell ref="C427:D427"/>
    <mergeCell ref="F427:G427"/>
    <mergeCell ref="C428:D428"/>
    <mergeCell ref="F428:G428"/>
    <mergeCell ref="A460:A461"/>
    <mergeCell ref="B460:B461"/>
    <mergeCell ref="A463:A464"/>
    <mergeCell ref="B463:B464"/>
    <mergeCell ref="A465:A466"/>
    <mergeCell ref="B465:B466"/>
    <mergeCell ref="A454:A455"/>
    <mergeCell ref="B454:B455"/>
    <mergeCell ref="A456:A457"/>
    <mergeCell ref="B456:B457"/>
    <mergeCell ref="A458:A459"/>
    <mergeCell ref="B458:B459"/>
    <mergeCell ref="A495:G495"/>
    <mergeCell ref="A497:G497"/>
    <mergeCell ref="A499:G499"/>
    <mergeCell ref="A500:G500"/>
    <mergeCell ref="A489:E489"/>
    <mergeCell ref="F489:G489"/>
    <mergeCell ref="A480:A481"/>
    <mergeCell ref="B480:B481"/>
    <mergeCell ref="A482:A483"/>
    <mergeCell ref="B482:B483"/>
    <mergeCell ref="A484:A485"/>
    <mergeCell ref="B484:B485"/>
    <mergeCell ref="C507:D507"/>
    <mergeCell ref="F507:G507"/>
    <mergeCell ref="C510:D510"/>
    <mergeCell ref="F510:G510"/>
    <mergeCell ref="C514:D514"/>
    <mergeCell ref="F514:G514"/>
    <mergeCell ref="A501:G501"/>
    <mergeCell ref="A502:G502"/>
    <mergeCell ref="A504:B504"/>
    <mergeCell ref="C504:D504"/>
    <mergeCell ref="F504:G504"/>
    <mergeCell ref="C505:D505"/>
    <mergeCell ref="F505:G505"/>
    <mergeCell ref="C508:D508"/>
    <mergeCell ref="C509:D509"/>
    <mergeCell ref="C511:D511"/>
    <mergeCell ref="C512:D512"/>
    <mergeCell ref="F508:G508"/>
    <mergeCell ref="F509:G509"/>
    <mergeCell ref="F511:G511"/>
    <mergeCell ref="F512:G512"/>
    <mergeCell ref="C513:D513"/>
    <mergeCell ref="F513:G513"/>
    <mergeCell ref="C515:D515"/>
    <mergeCell ref="F515:G515"/>
    <mergeCell ref="C519:D519"/>
    <mergeCell ref="F519:G519"/>
    <mergeCell ref="C522:D522"/>
    <mergeCell ref="F522:G522"/>
    <mergeCell ref="C531:D531"/>
    <mergeCell ref="F531:G531"/>
    <mergeCell ref="C516:D516"/>
    <mergeCell ref="C517:D517"/>
    <mergeCell ref="C518:D518"/>
    <mergeCell ref="C520:D520"/>
    <mergeCell ref="C521:D521"/>
    <mergeCell ref="C523:D523"/>
    <mergeCell ref="C524:D524"/>
    <mergeCell ref="C526:D526"/>
    <mergeCell ref="C527:D527"/>
    <mergeCell ref="F523:G523"/>
    <mergeCell ref="F524:G524"/>
    <mergeCell ref="F526:G526"/>
    <mergeCell ref="F527:G527"/>
    <mergeCell ref="F528:G528"/>
    <mergeCell ref="F529:G529"/>
    <mergeCell ref="F516:G516"/>
    <mergeCell ref="C555:D555"/>
    <mergeCell ref="F555:G555"/>
    <mergeCell ref="C557:D557"/>
    <mergeCell ref="F557:G557"/>
    <mergeCell ref="C560:D560"/>
    <mergeCell ref="F560:G560"/>
    <mergeCell ref="C568:D568"/>
    <mergeCell ref="C567:D567"/>
    <mergeCell ref="F567:G567"/>
    <mergeCell ref="F568:G568"/>
    <mergeCell ref="C563:D563"/>
    <mergeCell ref="F563:G563"/>
    <mergeCell ref="C556:D556"/>
    <mergeCell ref="C607:D607"/>
    <mergeCell ref="A609:E609"/>
    <mergeCell ref="F609:G609"/>
    <mergeCell ref="A611:G611"/>
    <mergeCell ref="A613:G613"/>
    <mergeCell ref="A615:G615"/>
    <mergeCell ref="A616:G616"/>
    <mergeCell ref="C564:D564"/>
    <mergeCell ref="F564:G564"/>
    <mergeCell ref="C565:D565"/>
    <mergeCell ref="F565:G565"/>
    <mergeCell ref="C569:D569"/>
    <mergeCell ref="F569:G569"/>
    <mergeCell ref="F573:G573"/>
    <mergeCell ref="F574:G574"/>
    <mergeCell ref="F576:G576"/>
    <mergeCell ref="F577:G577"/>
    <mergeCell ref="F578:G578"/>
    <mergeCell ref="F579:G579"/>
    <mergeCell ref="A582:E582"/>
    <mergeCell ref="F582:G582"/>
    <mergeCell ref="A586:G586"/>
    <mergeCell ref="A591:G592"/>
    <mergeCell ref="A594:B594"/>
    <mergeCell ref="A617:G617"/>
    <mergeCell ref="A619:B619"/>
    <mergeCell ref="C619:D619"/>
    <mergeCell ref="F619:G619"/>
    <mergeCell ref="C620:D620"/>
    <mergeCell ref="F620:G620"/>
    <mergeCell ref="C631:D631"/>
    <mergeCell ref="F631:G631"/>
    <mergeCell ref="C634:D634"/>
    <mergeCell ref="F634:G634"/>
    <mergeCell ref="C622:D622"/>
    <mergeCell ref="F622:G622"/>
    <mergeCell ref="C625:D625"/>
    <mergeCell ref="F625:G625"/>
    <mergeCell ref="C628:D628"/>
    <mergeCell ref="F628:G628"/>
    <mergeCell ref="C624:D624"/>
    <mergeCell ref="C626:D626"/>
    <mergeCell ref="C627:D627"/>
    <mergeCell ref="C630:D630"/>
    <mergeCell ref="C632:D632"/>
    <mergeCell ref="C633:D633"/>
    <mergeCell ref="C623:D623"/>
    <mergeCell ref="A723:E724"/>
    <mergeCell ref="F723:G724"/>
    <mergeCell ref="F665:G665"/>
    <mergeCell ref="F671:G671"/>
    <mergeCell ref="F672:G672"/>
    <mergeCell ref="C666:D666"/>
    <mergeCell ref="C670:D670"/>
    <mergeCell ref="C665:D665"/>
    <mergeCell ref="C654:D654"/>
    <mergeCell ref="C656:D656"/>
    <mergeCell ref="C657:D657"/>
    <mergeCell ref="C659:D659"/>
    <mergeCell ref="C660:D660"/>
    <mergeCell ref="C662:D662"/>
    <mergeCell ref="C663:D663"/>
    <mergeCell ref="C664:D664"/>
    <mergeCell ref="C658:D658"/>
    <mergeCell ref="C661:D661"/>
    <mergeCell ref="C655:D655"/>
    <mergeCell ref="C690:D690"/>
    <mergeCell ref="F654:G654"/>
    <mergeCell ref="C677:D677"/>
    <mergeCell ref="C678:D678"/>
    <mergeCell ref="C680:D680"/>
    <mergeCell ref="A726:G726"/>
    <mergeCell ref="A694:E694"/>
    <mergeCell ref="F694:G694"/>
    <mergeCell ref="F685:G685"/>
    <mergeCell ref="C688:D688"/>
    <mergeCell ref="F688:G688"/>
    <mergeCell ref="C676:D676"/>
    <mergeCell ref="F676:G676"/>
    <mergeCell ref="C679:D679"/>
    <mergeCell ref="F679:G679"/>
    <mergeCell ref="C682:D682"/>
    <mergeCell ref="F682:G682"/>
    <mergeCell ref="C687:D687"/>
    <mergeCell ref="F687:G687"/>
    <mergeCell ref="C686:D686"/>
    <mergeCell ref="F690:G690"/>
    <mergeCell ref="F689:G689"/>
    <mergeCell ref="C692:D692"/>
    <mergeCell ref="F692:G692"/>
    <mergeCell ref="F681:G681"/>
    <mergeCell ref="F683:G683"/>
    <mergeCell ref="F684:G684"/>
    <mergeCell ref="C685:D685"/>
    <mergeCell ref="C691:D691"/>
    <mergeCell ref="A110:G111"/>
    <mergeCell ref="A486:A487"/>
    <mergeCell ref="B486:B487"/>
    <mergeCell ref="C462:D462"/>
    <mergeCell ref="F462:G462"/>
    <mergeCell ref="A473:A474"/>
    <mergeCell ref="B473:B474"/>
    <mergeCell ref="A476:A477"/>
    <mergeCell ref="B476:B477"/>
    <mergeCell ref="A478:A479"/>
    <mergeCell ref="B478:B479"/>
    <mergeCell ref="A467:A468"/>
    <mergeCell ref="B467:B468"/>
    <mergeCell ref="A469:A470"/>
    <mergeCell ref="D367:E367"/>
    <mergeCell ref="B469:B470"/>
    <mergeCell ref="A471:A472"/>
    <mergeCell ref="B471:B472"/>
    <mergeCell ref="D359:E359"/>
    <mergeCell ref="D360:E360"/>
    <mergeCell ref="D361:E361"/>
    <mergeCell ref="D362:E362"/>
    <mergeCell ref="D363:E363"/>
    <mergeCell ref="D364:E364"/>
    <mergeCell ref="D365:E365"/>
    <mergeCell ref="D366:E366"/>
    <mergeCell ref="C349:C350"/>
    <mergeCell ref="C351:C352"/>
    <mergeCell ref="D349:E350"/>
    <mergeCell ref="D351:E352"/>
    <mergeCell ref="D353:E353"/>
    <mergeCell ref="D354:E354"/>
    <mergeCell ref="D355:E355"/>
    <mergeCell ref="D356:E356"/>
    <mergeCell ref="D357:E357"/>
    <mergeCell ref="D371:E371"/>
    <mergeCell ref="D372:E372"/>
    <mergeCell ref="A371:A372"/>
    <mergeCell ref="B371:B372"/>
    <mergeCell ref="A386:G387"/>
    <mergeCell ref="A389:G390"/>
    <mergeCell ref="C667:D667"/>
    <mergeCell ref="F667:G667"/>
    <mergeCell ref="C652:D652"/>
    <mergeCell ref="F652:G652"/>
    <mergeCell ref="C637:D637"/>
    <mergeCell ref="F637:G637"/>
    <mergeCell ref="C642:D642"/>
    <mergeCell ref="F642:G642"/>
    <mergeCell ref="C646:D646"/>
    <mergeCell ref="F646:G646"/>
    <mergeCell ref="C645:D645"/>
    <mergeCell ref="F645:G645"/>
    <mergeCell ref="C651:D651"/>
    <mergeCell ref="F639:G639"/>
    <mergeCell ref="F640:G640"/>
    <mergeCell ref="F641:G641"/>
    <mergeCell ref="F647:G647"/>
    <mergeCell ref="F648:G648"/>
    <mergeCell ref="F691:G691"/>
    <mergeCell ref="A374:E374"/>
    <mergeCell ref="A376:E376"/>
    <mergeCell ref="A378:G378"/>
    <mergeCell ref="A380:G380"/>
    <mergeCell ref="A407:G407"/>
    <mergeCell ref="A409:G409"/>
    <mergeCell ref="A411:G411"/>
    <mergeCell ref="A413:G413"/>
    <mergeCell ref="A440:G441"/>
    <mergeCell ref="A491:G491"/>
    <mergeCell ref="A493:G493"/>
    <mergeCell ref="C671:D671"/>
    <mergeCell ref="C672:D672"/>
    <mergeCell ref="F660:G660"/>
    <mergeCell ref="F662:G662"/>
    <mergeCell ref="F663:G663"/>
    <mergeCell ref="F664:G664"/>
    <mergeCell ref="F650:G650"/>
    <mergeCell ref="F651:G651"/>
    <mergeCell ref="F644:G644"/>
    <mergeCell ref="F643:G643"/>
    <mergeCell ref="C629:D629"/>
    <mergeCell ref="F629:G629"/>
  </mergeCells>
  <pageMargins left="0.7" right="0.7" top="0.75" bottom="0.75" header="0.3" footer="0.3"/>
  <pageSetup scale="46" fitToHeight="0" orientation="portrait" r:id="rId1"/>
  <headerFooter>
    <oddHeader>&amp;C&amp;"Arial,Bold"&amp;10 6D024-202295/A
ANNEXE B
BASE DE PAIEMENT</oddHeader>
    <oddFooter>&amp;CPage &amp;P de &amp;N</oddFooter>
  </headerFooter>
  <rowBreaks count="2" manualBreakCount="2">
    <brk id="373" max="16383" man="1"/>
    <brk id="466" max="16383" man="1"/>
  </rowBreaks>
  <ignoredErrors>
    <ignoredError sqref="C292:G292 C180:G180 A67 A70 A73 A93 A96 A99 A151 A168 A119 A134 A136 A153 A180 A201 A226 A222 A245 A247 A249 A251 A270 A272 A274 A292 A296 A300 A353 A355 A357 A359 A361 A363 A365 A367 A369 A371 A421 A425 A429 A531 A556 A669 A506 A621 A707 A711 A715:G715" numberStoredAsText="1"/>
    <ignoredError sqref="F210 F220 F233 F235 F241 F243 F248 F253 F258:F259 F260 F266 F268 F270 F272 F460 F468 F470:F473 F481 F483:F486 F5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L'annexe B, Base de paiement</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Adler Brooks</dc:creator>
  <cp:lastModifiedBy>Julie Adler Brooks</cp:lastModifiedBy>
  <cp:lastPrinted>2020-06-28T02:48:46Z</cp:lastPrinted>
  <dcterms:created xsi:type="dcterms:W3CDTF">2020-06-28T02:21:19Z</dcterms:created>
  <dcterms:modified xsi:type="dcterms:W3CDTF">2020-07-27T13:17:03Z</dcterms:modified>
</cp:coreProperties>
</file>